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Recipe!$A$1:$K$57</definedName>
  </definedNames>
  <calcPr calcId="144525"/>
</workbook>
</file>

<file path=xl/calcChain.xml><?xml version="1.0" encoding="utf-8"?>
<calcChain xmlns="http://schemas.openxmlformats.org/spreadsheetml/2006/main">
  <c r="H26" i="1" l="1"/>
  <c r="C7" i="1"/>
  <c r="I40" i="1" l="1"/>
  <c r="J40" i="1" s="1"/>
  <c r="K40" i="1" s="1"/>
  <c r="G40" i="1"/>
  <c r="I39" i="1"/>
  <c r="H39" i="1" s="1"/>
  <c r="G39" i="1"/>
  <c r="I38" i="1"/>
  <c r="H38" i="1" s="1"/>
  <c r="G38" i="1"/>
  <c r="I37" i="1"/>
  <c r="J37" i="1" s="1"/>
  <c r="K37" i="1" s="1"/>
  <c r="G37" i="1"/>
  <c r="I36" i="1"/>
  <c r="J36" i="1" s="1"/>
  <c r="K36" i="1" s="1"/>
  <c r="G36" i="1"/>
  <c r="I35" i="1"/>
  <c r="J35" i="1" s="1"/>
  <c r="K35" i="1" s="1"/>
  <c r="G35" i="1"/>
  <c r="I34" i="1"/>
  <c r="J34" i="1" s="1"/>
  <c r="K34" i="1" s="1"/>
  <c r="G34" i="1"/>
  <c r="I33" i="1"/>
  <c r="H33" i="1" s="1"/>
  <c r="G33" i="1"/>
  <c r="I32" i="1"/>
  <c r="H32" i="1" s="1"/>
  <c r="G32" i="1"/>
  <c r="F31" i="1"/>
  <c r="I31" i="1" s="1"/>
  <c r="J31" i="1" s="1"/>
  <c r="K31" i="1" s="1"/>
  <c r="I25" i="1"/>
  <c r="H25" i="1" s="1"/>
  <c r="G25" i="1"/>
  <c r="I24" i="1"/>
  <c r="J24" i="1" s="1"/>
  <c r="K24" i="1" s="1"/>
  <c r="G24" i="1"/>
  <c r="I23" i="1"/>
  <c r="J23" i="1" s="1"/>
  <c r="K23" i="1" s="1"/>
  <c r="G23" i="1"/>
  <c r="I22" i="1"/>
  <c r="H22" i="1" s="1"/>
  <c r="G22" i="1"/>
  <c r="I21" i="1"/>
  <c r="J21" i="1" s="1"/>
  <c r="K21" i="1" s="1"/>
  <c r="G21" i="1"/>
  <c r="I20" i="1"/>
  <c r="J20" i="1" s="1"/>
  <c r="K20" i="1" s="1"/>
  <c r="G20" i="1"/>
  <c r="I19" i="1"/>
  <c r="H19" i="1" s="1"/>
  <c r="G19" i="1"/>
  <c r="I18" i="1"/>
  <c r="J18" i="1" s="1"/>
  <c r="K18" i="1" s="1"/>
  <c r="I17" i="1"/>
  <c r="J17" i="1" s="1"/>
  <c r="K17" i="1" s="1"/>
  <c r="G17" i="1"/>
  <c r="I16" i="1"/>
  <c r="J16" i="1" s="1"/>
  <c r="K16" i="1" s="1"/>
  <c r="G16" i="1"/>
  <c r="H40" i="1" l="1"/>
  <c r="H20" i="1"/>
  <c r="H31" i="1"/>
  <c r="H37" i="1"/>
  <c r="L35" i="1"/>
  <c r="H35" i="1" s="1"/>
  <c r="J38" i="1"/>
  <c r="K38" i="1" s="1"/>
  <c r="L36" i="1"/>
  <c r="H36" i="1" s="1"/>
  <c r="G31" i="1"/>
  <c r="J32" i="1"/>
  <c r="K32" i="1" s="1"/>
  <c r="H34" i="1"/>
  <c r="J39" i="1"/>
  <c r="K39" i="1" s="1"/>
  <c r="J33" i="1"/>
  <c r="K33" i="1" s="1"/>
  <c r="H16" i="1"/>
  <c r="H18" i="1"/>
  <c r="L18" i="1"/>
  <c r="H24" i="1"/>
  <c r="J25" i="1"/>
  <c r="K25" i="1" s="1"/>
  <c r="H21" i="1"/>
  <c r="J22" i="1"/>
  <c r="K22" i="1" s="1"/>
  <c r="L23" i="1"/>
  <c r="M23" i="1" s="1"/>
  <c r="H17" i="1"/>
  <c r="J19" i="1"/>
  <c r="K19" i="1" s="1"/>
  <c r="B28" i="1"/>
  <c r="H28" i="1" l="1"/>
  <c r="K27" i="1"/>
  <c r="C5" i="1"/>
  <c r="A16" i="1" s="1"/>
  <c r="E8" i="1"/>
  <c r="C6" i="1"/>
  <c r="A23" i="1" l="1"/>
  <c r="A20" i="1"/>
  <c r="A24" i="1"/>
  <c r="A21" i="1"/>
  <c r="A25" i="1"/>
  <c r="A18" i="1"/>
  <c r="A22" i="1"/>
  <c r="A26" i="1"/>
  <c r="A27" i="1"/>
  <c r="A19" i="1"/>
  <c r="A17" i="1"/>
  <c r="E12" i="1" l="1"/>
  <c r="J62" i="1" l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G56" i="1"/>
  <c r="J55" i="1"/>
  <c r="I55" i="1"/>
  <c r="G55" i="1"/>
  <c r="J54" i="1"/>
  <c r="I54" i="1"/>
  <c r="J53" i="1"/>
  <c r="I53" i="1"/>
  <c r="J52" i="1"/>
  <c r="I52" i="1"/>
  <c r="J51" i="1"/>
  <c r="I51" i="1"/>
  <c r="J47" i="1"/>
  <c r="I47" i="1"/>
  <c r="J45" i="1"/>
  <c r="I45" i="1"/>
  <c r="J43" i="1"/>
  <c r="I43" i="1"/>
  <c r="J29" i="1"/>
  <c r="I29" i="1"/>
  <c r="J28" i="1"/>
  <c r="I28" i="1"/>
  <c r="H29" i="1" l="1"/>
  <c r="E5" i="1" s="1"/>
  <c r="G57" i="1" l="1"/>
  <c r="G58" i="1"/>
  <c r="G59" i="1"/>
  <c r="G60" i="1"/>
  <c r="G61" i="1"/>
  <c r="G62" i="1"/>
  <c r="G63" i="1"/>
  <c r="G64" i="1"/>
  <c r="G65" i="1"/>
  <c r="G66" i="1"/>
  <c r="G26" i="1"/>
  <c r="F26" i="1"/>
  <c r="I26" i="1"/>
  <c r="J26" i="1"/>
  <c r="K26" i="1"/>
</calcChain>
</file>

<file path=xl/sharedStrings.xml><?xml version="1.0" encoding="utf-8"?>
<sst xmlns="http://schemas.openxmlformats.org/spreadsheetml/2006/main" count="143" uniqueCount="111">
  <si>
    <t>Amount</t>
  </si>
  <si>
    <t>Ingredient</t>
  </si>
  <si>
    <t>Preparation Method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</si>
  <si>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</si>
  <si>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</si>
  <si>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</si>
  <si>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</si>
  <si>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</si>
  <si>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</si>
  <si>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</si>
  <si>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</si>
  <si>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</si>
  <si>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</si>
  <si>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</si>
  <si>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</si>
  <si>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</si>
  <si>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</si>
  <si>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</si>
  <si>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</si>
  <si>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</si>
  <si>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</si>
  <si>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</si>
  <si>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</si>
  <si>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</si>
  <si>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</si>
  <si>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</si>
  <si>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</si>
  <si>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</si>
  <si>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</si>
  <si>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</si>
  <si>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</si>
  <si>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</si>
  <si>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</si>
  <si>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</si>
  <si>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</si>
  <si>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</si>
  <si>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</si>
  <si>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</si>
  <si>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</si>
  <si>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</si>
  <si>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</si>
  <si>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</si>
  <si>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</si>
  <si>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</si>
  <si>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</si>
  <si>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</si>
  <si>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</si>
  <si>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</si>
  <si>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</si>
  <si>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</si>
  <si>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</si>
  <si>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</si>
  <si>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</si>
  <si>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</si>
  <si>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</si>
  <si>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</si>
  <si>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</si>
  <si>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kg</t>
  </si>
  <si>
    <t>Red Bell Pepper (4)</t>
  </si>
  <si>
    <t>20-100000841</t>
  </si>
  <si>
    <t>20-100001418</t>
  </si>
  <si>
    <t>Capers</t>
  </si>
  <si>
    <t>20-100001224</t>
  </si>
  <si>
    <t>Capers Imported Non Pareil (5-7Mm) 900 Grams</t>
  </si>
  <si>
    <t>lt</t>
  </si>
  <si>
    <t>Lemon juice</t>
  </si>
  <si>
    <t>20-100001384</t>
  </si>
  <si>
    <t>Fresh Basil Leaves</t>
  </si>
  <si>
    <t>20-100014977</t>
  </si>
  <si>
    <t>Extra Virgin Olive Oil</t>
  </si>
  <si>
    <t>20-100001607</t>
  </si>
  <si>
    <t>Fresh Garlic Cloves</t>
  </si>
  <si>
    <t>20-100000869</t>
  </si>
  <si>
    <t>Salt</t>
  </si>
  <si>
    <t>20-100001305</t>
  </si>
  <si>
    <t>Pepper</t>
  </si>
  <si>
    <t>20-100001295</t>
  </si>
  <si>
    <t>2.24.17</t>
  </si>
  <si>
    <t>DR</t>
  </si>
  <si>
    <t>3.6.17</t>
  </si>
  <si>
    <t>Garlic Basil Vinaigrette</t>
  </si>
  <si>
    <t>Apple Cider Vinegar</t>
  </si>
  <si>
    <t>20-100000653</t>
  </si>
  <si>
    <t>Lemon Juice</t>
  </si>
  <si>
    <t>Dijon Mustard</t>
  </si>
  <si>
    <t>20-100001256</t>
  </si>
  <si>
    <t>Fresh Chives (Spring Onion)</t>
  </si>
  <si>
    <t>20-100000836</t>
  </si>
  <si>
    <t>Method Of Preparation:</t>
  </si>
  <si>
    <t>1. Oven roast the bell peppers in preheated 400 (F) oven for 15-20 minutes. Rest in a non reactive container after lightly</t>
  </si>
  <si>
    <t xml:space="preserve">salting and covering with plastic film to cool. </t>
  </si>
  <si>
    <t>2. Peel roasted bell peppers; remove seeds and slice into long pieces (slivers). Layer pepper slivers after coating them</t>
  </si>
  <si>
    <t>3. Prepare garlic basil vinaigrette in a vitamix blender, adding fresh garlic, fresh herbs, dijon mustard, apple cider vinegar,</t>
  </si>
  <si>
    <t>4. Lay the roasted pepper petals in the center of the plate (flower like) lay marinated anchovies on top and sprinkle a few</t>
  </si>
  <si>
    <t>1. After clearning salted anchovies under running water, place in conatiner with finely chopped garlic and italian parsley,</t>
  </si>
  <si>
    <t>with lemon garlic and extra virgin olive oil to marinate. Reserve in the refrigerator.</t>
  </si>
  <si>
    <t>lemon juice and the extra virgin olive oil. Adjust flavor with salt and pepper.</t>
  </si>
  <si>
    <t>capers, garnish with mixed greens and drizzle green basil vinaigrette.</t>
  </si>
  <si>
    <t>Anchovie Marinade:</t>
  </si>
  <si>
    <t>lemon juice, extra virgin olive oil to marinate.</t>
  </si>
  <si>
    <t xml:space="preserve">Piemontesi </t>
  </si>
  <si>
    <t>Roasted bell peppers, capers, alici, green garlic basil vinaigrette</t>
  </si>
  <si>
    <t>Sabatini</t>
  </si>
  <si>
    <t>Antipasti</t>
  </si>
  <si>
    <t>20-100000834</t>
  </si>
  <si>
    <t>Lettuce Spring Mix</t>
  </si>
  <si>
    <t xml:space="preserve">Garlic Basil Vinaigrette: </t>
  </si>
  <si>
    <t>Lt</t>
  </si>
  <si>
    <t>See Sub Recipe</t>
  </si>
  <si>
    <t>Anchovies 24 Filets (4 each)</t>
  </si>
  <si>
    <t>3.9.17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</si>
</sst>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ill="1" applyBorder="1"/>
    <xf numFmtId="0" fontId="0" fillId="0" borderId="0" xfId="0" applyFont="1" applyFill="1" applyBorder="1" applyAlignment="1">
      <alignment horizontal="left" wrapText="1"/>
    </xf>
    <xf numFmtId="44" fontId="0" fillId="0" borderId="0" xfId="0" applyNumberFormat="1" applyAlignment="1">
      <alignment horizontal="left"/>
    </xf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0</xdr:row>
          <xdr:rowOff>19050</xdr:rowOff>
        </xdr:from>
        <xdr:to>
          <xdr:col>8</xdr:col>
          <xdr:colOff>142875</xdr:colOff>
          <xdr:row>11</xdr:row>
          <xdr:rowOff>171450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6">
          <cell r="B2646">
            <v>0</v>
          </cell>
          <cell r="C2646">
            <v>0</v>
          </cell>
        </row>
        <row r="2647">
          <cell r="B2647">
            <v>0</v>
          </cell>
          <cell r="C2647">
            <v>0</v>
          </cell>
        </row>
        <row r="2648">
          <cell r="B2648">
            <v>0</v>
          </cell>
          <cell r="C2648">
            <v>0</v>
          </cell>
        </row>
        <row r="2649">
          <cell r="B2649">
            <v>0</v>
          </cell>
          <cell r="C264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1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6"/>
  <sheetViews>
    <sheetView tabSelected="1" topLeftCell="A31" zoomScaleNormal="100" workbookViewId="0">
      <selection activeCell="G43" sqref="G43"/>
    </sheetView>
  </sheetViews>
  <sheetFormatPr defaultRowHeight="15" x14ac:dyDescent="0.25"/>
  <cols>
    <col min="1" max="1" width="10.5703125" style="100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2" t="s">
        <v>13</v>
      </c>
      <c r="B1" s="8" t="s">
        <v>100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54</v>
      </c>
    </row>
    <row r="2" spans="1:12" s="3" customFormat="1" ht="16.5" customHeight="1" x14ac:dyDescent="0.25">
      <c r="A2" s="102"/>
      <c r="B2" s="120" t="s">
        <v>101</v>
      </c>
      <c r="C2" s="121"/>
      <c r="D2" s="121"/>
      <c r="E2" s="121"/>
      <c r="F2" s="11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3" t="s">
        <v>53</v>
      </c>
      <c r="B3" s="99" t="s">
        <v>47</v>
      </c>
      <c r="C3" s="91" t="s">
        <v>102</v>
      </c>
      <c r="D3" s="12" t="s">
        <v>103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4" t="s">
        <v>52</v>
      </c>
      <c r="B4" s="99" t="s">
        <v>48</v>
      </c>
      <c r="C4" s="90">
        <v>0.98699999999999999</v>
      </c>
      <c r="D4" s="84" t="s">
        <v>49</v>
      </c>
      <c r="E4" s="79" t="s">
        <v>39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5">
        <v>50</v>
      </c>
      <c r="B5" s="79"/>
      <c r="C5" s="89">
        <f>SUM(C4/C7)</f>
        <v>6</v>
      </c>
      <c r="D5" s="81" t="s">
        <v>43</v>
      </c>
      <c r="E5" s="78">
        <f>SUM(H29)</f>
        <v>0.53185564879087566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6" t="s">
        <v>13</v>
      </c>
      <c r="B6" s="79"/>
      <c r="C6" s="1" t="str">
        <f>IF(ISBLANK(C8),"-",(C4/C8))</f>
        <v>-</v>
      </c>
      <c r="D6" s="88" t="s">
        <v>44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6"/>
      <c r="B7" s="85" t="s">
        <v>45</v>
      </c>
      <c r="C7" s="86">
        <f>C4/6</f>
        <v>0.16450000000000001</v>
      </c>
      <c r="D7" s="84" t="s">
        <v>50</v>
      </c>
      <c r="E7" s="79" t="s">
        <v>40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7"/>
      <c r="B8" s="87" t="s">
        <v>46</v>
      </c>
      <c r="C8" s="92"/>
      <c r="D8" s="84" t="s">
        <v>51</v>
      </c>
      <c r="E8" s="78" t="str">
        <f>IF(ISBLANK(C8),"-",(H28/C6))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7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8"/>
      <c r="B10" s="7" t="s">
        <v>8</v>
      </c>
      <c r="C10" s="28" t="s">
        <v>9</v>
      </c>
      <c r="D10" s="7" t="s">
        <v>10</v>
      </c>
      <c r="F10" s="17"/>
      <c r="G10" s="62"/>
      <c r="H10" s="63"/>
      <c r="I10" s="63"/>
      <c r="J10" s="64"/>
      <c r="K10" s="65"/>
    </row>
    <row r="11" spans="1:12" x14ac:dyDescent="0.25">
      <c r="A11" s="108"/>
      <c r="B11" s="20" t="s">
        <v>11</v>
      </c>
      <c r="C11" s="38"/>
      <c r="D11" s="21"/>
      <c r="E11" s="83" t="s">
        <v>41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8"/>
      <c r="B12" s="20" t="s">
        <v>12</v>
      </c>
      <c r="C12" s="39" t="s">
        <v>77</v>
      </c>
      <c r="D12" s="21" t="s">
        <v>78</v>
      </c>
      <c r="E12" s="82">
        <f>SUM(C4/B28)</f>
        <v>0.95546950629235239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8"/>
      <c r="B13" s="20"/>
      <c r="C13" s="40" t="s">
        <v>79</v>
      </c>
      <c r="D13" s="21" t="s">
        <v>56</v>
      </c>
      <c r="E13" s="19"/>
      <c r="F13" s="17"/>
      <c r="G13" s="62"/>
      <c r="H13" s="63"/>
      <c r="I13" s="63"/>
      <c r="J13" s="64"/>
      <c r="K13" s="65"/>
    </row>
    <row r="14" spans="1:12" ht="15" customHeight="1" x14ac:dyDescent="0.25">
      <c r="A14" s="108"/>
      <c r="B14" s="20"/>
      <c r="C14" s="40" t="s">
        <v>110</v>
      </c>
      <c r="D14" s="21" t="s">
        <v>56</v>
      </c>
      <c r="E14" s="19"/>
      <c r="F14" s="17"/>
      <c r="G14" s="62"/>
      <c r="H14" s="63"/>
      <c r="I14" s="63"/>
      <c r="J14" s="64"/>
      <c r="K14" s="65"/>
    </row>
    <row r="15" spans="1:12" ht="12.75" customHeight="1" x14ac:dyDescent="0.25">
      <c r="A15" s="107"/>
      <c r="B15" s="28" t="s">
        <v>0</v>
      </c>
      <c r="C15" s="28" t="s">
        <v>3</v>
      </c>
      <c r="D15" s="29" t="s">
        <v>1</v>
      </c>
      <c r="E15" s="30" t="s">
        <v>2</v>
      </c>
      <c r="F15" s="28" t="s">
        <v>6</v>
      </c>
      <c r="G15" s="66" t="s">
        <v>7</v>
      </c>
      <c r="H15" s="67" t="s">
        <v>5</v>
      </c>
      <c r="I15" s="67" t="s">
        <v>4</v>
      </c>
      <c r="J15" s="68" t="s">
        <v>3</v>
      </c>
      <c r="K15" s="69" t="s">
        <v>55</v>
      </c>
    </row>
    <row r="16" spans="1:12" ht="12.75" customHeight="1" x14ac:dyDescent="0.25">
      <c r="A16" s="107">
        <f t="shared" ref="A16:A27" si="0">IF(ISBLANK(B16),0,(SUM($A$5/$C$5)*B16))</f>
        <v>6</v>
      </c>
      <c r="B16" s="111">
        <v>0.72</v>
      </c>
      <c r="C16" s="22" t="s">
        <v>57</v>
      </c>
      <c r="D16" s="112" t="s">
        <v>58</v>
      </c>
      <c r="E16" s="23"/>
      <c r="F16" s="93" t="s">
        <v>59</v>
      </c>
      <c r="G16" s="95" t="str">
        <f>IF(F16="","",(VLOOKUP($F16,[1]SKU!$A$4:$D$3000,2,FALSE)))</f>
        <v>Pepper Bell, Capsicum, Red, 200 GRM +</v>
      </c>
      <c r="H16" s="5">
        <f t="shared" ref="H16:H22" si="1">IF(F16="","",(B16*I16))</f>
        <v>1.4764901464727431</v>
      </c>
      <c r="I16" s="5">
        <f>IF(F16="","",(VLOOKUP(F16,[1]SKU!$A$4:$D$3000,4,FALSE)))</f>
        <v>2.050680758989921</v>
      </c>
      <c r="J16" s="109" t="str">
        <f>IF(I16="","",(VLOOKUP($F16,[1]SKU!$A$4:$D$3000,3,FALSE)))</f>
        <v>KG</v>
      </c>
      <c r="K16" s="110" t="str">
        <f t="shared" ref="K16:K26" si="2">IF(J16="","",IF(J16=$C16,"","DIFFERENT"))</f>
        <v/>
      </c>
    </row>
    <row r="17" spans="1:13" ht="12.75" customHeight="1" x14ac:dyDescent="0.25">
      <c r="A17" s="107">
        <f t="shared" si="0"/>
        <v>0.8</v>
      </c>
      <c r="B17" s="111">
        <v>9.6000000000000002E-2</v>
      </c>
      <c r="C17" s="22" t="s">
        <v>57</v>
      </c>
      <c r="D17" s="24" t="s">
        <v>109</v>
      </c>
      <c r="E17" s="16"/>
      <c r="F17" s="93" t="s">
        <v>60</v>
      </c>
      <c r="G17" s="95" t="str">
        <f>IF(F17="","",(VLOOKUP($F17,[1]SKU!$A$4:$D$3000,2,FALSE)))</f>
        <v>Anchovy Fillet</v>
      </c>
      <c r="H17" s="5">
        <f t="shared" si="1"/>
        <v>0.79781630178665386</v>
      </c>
      <c r="I17" s="5">
        <f>IF(F17="","",(VLOOKUP(F17,[1]SKU!$A$4:$D$3000,4,FALSE)))</f>
        <v>8.3105864769443105</v>
      </c>
      <c r="J17" s="109" t="str">
        <f>IF(I17="","",(VLOOKUP($F17,[1]SKU!$A$4:$D$3000,3,FALSE)))</f>
        <v>KG</v>
      </c>
      <c r="K17" s="110" t="str">
        <f t="shared" si="2"/>
        <v/>
      </c>
    </row>
    <row r="18" spans="1:13" ht="12.75" customHeight="1" x14ac:dyDescent="0.25">
      <c r="A18" s="107">
        <f t="shared" si="0"/>
        <v>0.33333333333333337</v>
      </c>
      <c r="B18" s="111">
        <v>0.04</v>
      </c>
      <c r="C18" s="22" t="s">
        <v>57</v>
      </c>
      <c r="D18" s="15" t="s">
        <v>61</v>
      </c>
      <c r="E18" s="16"/>
      <c r="F18" s="93" t="s">
        <v>62</v>
      </c>
      <c r="G18" s="93" t="s">
        <v>63</v>
      </c>
      <c r="H18" s="5">
        <f t="shared" si="1"/>
        <v>0.17070301204819274</v>
      </c>
      <c r="I18" s="5">
        <f>IF(F18="","",(VLOOKUP(F18,[1]SKU!$A$4:$D$3000,4,FALSE)))</f>
        <v>4.2675753012048183</v>
      </c>
      <c r="J18" s="109" t="str">
        <f>IF(I18="","",(VLOOKUP($F18,[1]SKU!$A$4:$D$3000,3,FALSE)))</f>
        <v>EA</v>
      </c>
      <c r="K18" s="110" t="str">
        <f t="shared" si="2"/>
        <v>DIFFERENT</v>
      </c>
      <c r="L18" s="94">
        <f>I18/0.9*B18</f>
        <v>0.18967001338688083</v>
      </c>
    </row>
    <row r="19" spans="1:13" ht="12.75" customHeight="1" x14ac:dyDescent="0.25">
      <c r="A19" s="107">
        <f t="shared" si="0"/>
        <v>0.33333333333333337</v>
      </c>
      <c r="B19" s="111">
        <v>0.04</v>
      </c>
      <c r="C19" s="22" t="s">
        <v>64</v>
      </c>
      <c r="D19" s="15" t="s">
        <v>65</v>
      </c>
      <c r="E19" s="16"/>
      <c r="F19" s="93" t="s">
        <v>66</v>
      </c>
      <c r="G19" s="95" t="str">
        <f>IF(F19="","",(VLOOKUP($F19,[1]SKU!$A$4:$D$3000,2,FALSE)))</f>
        <v>Lemon Juice Pure</v>
      </c>
      <c r="H19" s="5">
        <f t="shared" si="1"/>
        <v>3.3427255887801009E-2</v>
      </c>
      <c r="I19" s="5">
        <f>IF(F19="","",(VLOOKUP(F19,[1]SKU!$A$4:$D$3000,4,FALSE)))</f>
        <v>0.83568139719502521</v>
      </c>
      <c r="J19" s="109" t="str">
        <f>IF(I19="","",(VLOOKUP($F19,[1]SKU!$A$4:$D$3000,3,FALSE)))</f>
        <v>LT</v>
      </c>
      <c r="K19" s="110" t="str">
        <f t="shared" si="2"/>
        <v/>
      </c>
    </row>
    <row r="20" spans="1:13" ht="12.75" customHeight="1" x14ac:dyDescent="0.25">
      <c r="A20" s="107">
        <f t="shared" si="0"/>
        <v>6.666666666666668E-2</v>
      </c>
      <c r="B20" s="111">
        <v>8.0000000000000002E-3</v>
      </c>
      <c r="C20" s="22" t="s">
        <v>57</v>
      </c>
      <c r="D20" s="32" t="s">
        <v>105</v>
      </c>
      <c r="E20" s="23"/>
      <c r="F20" s="113" t="s">
        <v>104</v>
      </c>
      <c r="G20" s="118" t="str">
        <f>IF(F20="","",(VLOOKUP($F20,[1]SKU!$A$4:$D$3000,2,FALSE)))</f>
        <v>Lettuce Spring Mix / Mesclun</v>
      </c>
      <c r="H20" s="5">
        <f t="shared" si="1"/>
        <v>3.6967904907228136E-2</v>
      </c>
      <c r="I20" s="5">
        <f>IF(F20="","",(VLOOKUP(F20,[1]SKU!$A$4:$D$3000,4,FALSE)))</f>
        <v>4.6209881134035165</v>
      </c>
      <c r="J20" s="109" t="str">
        <f>IF(I20="","",(VLOOKUP($F20,[1]SKU!$A$4:$D$3000,3,FALSE)))</f>
        <v>KG</v>
      </c>
      <c r="K20" s="110" t="str">
        <f t="shared" si="2"/>
        <v/>
      </c>
    </row>
    <row r="21" spans="1:13" ht="12.75" customHeight="1" x14ac:dyDescent="0.25">
      <c r="A21" s="107">
        <f t="shared" si="0"/>
        <v>1.666666666666667E-2</v>
      </c>
      <c r="B21" s="111">
        <v>2E-3</v>
      </c>
      <c r="C21" s="22" t="s">
        <v>57</v>
      </c>
      <c r="D21" s="32" t="s">
        <v>67</v>
      </c>
      <c r="E21" s="23"/>
      <c r="F21" s="93" t="s">
        <v>68</v>
      </c>
      <c r="G21" s="95" t="str">
        <f>IF(F21="","",(VLOOKUP($F21,[1]SKU!$A$4:$D$3000,2,FALSE)))</f>
        <v>Herb, Basil Opal / Red, Bulk, Fresh</v>
      </c>
      <c r="H21" s="5">
        <f t="shared" si="1"/>
        <v>5.2941176470588241E-2</v>
      </c>
      <c r="I21" s="5">
        <f>IF(F21="","",(VLOOKUP(F21,[1]SKU!$A$4:$D$3000,4,FALSE)))</f>
        <v>26.47058823529412</v>
      </c>
      <c r="J21" s="109" t="str">
        <f>IF(I21="","",(VLOOKUP($F21,[1]SKU!$A$4:$D$3000,3,FALSE)))</f>
        <v>KG</v>
      </c>
      <c r="K21" s="110" t="str">
        <f t="shared" si="2"/>
        <v/>
      </c>
    </row>
    <row r="22" spans="1:13" ht="12.75" customHeight="1" x14ac:dyDescent="0.25">
      <c r="A22" s="107">
        <f t="shared" si="0"/>
        <v>0.66666666666666674</v>
      </c>
      <c r="B22" s="111">
        <v>0.08</v>
      </c>
      <c r="C22" s="22" t="s">
        <v>64</v>
      </c>
      <c r="D22" s="32" t="s">
        <v>69</v>
      </c>
      <c r="E22" s="23"/>
      <c r="F22" s="93" t="s">
        <v>70</v>
      </c>
      <c r="G22" s="95" t="str">
        <f>IF(F22="","",(VLOOKUP($F22,[1]SKU!$A$4:$D$3000,2,FALSE)))</f>
        <v>Oil Olive Extra Virgin</v>
      </c>
      <c r="H22" s="5">
        <f t="shared" si="1"/>
        <v>0.34290162688588671</v>
      </c>
      <c r="I22" s="5">
        <f>IF(F22="","",(VLOOKUP(F22,[1]SKU!$A$4:$D$3000,4,FALSE)))</f>
        <v>4.2862703360735841</v>
      </c>
      <c r="J22" s="109" t="str">
        <f>IF(I22="","",(VLOOKUP($F22,[1]SKU!$A$4:$D$3000,3,FALSE)))</f>
        <v>LT</v>
      </c>
      <c r="K22" s="110" t="str">
        <f t="shared" si="2"/>
        <v/>
      </c>
    </row>
    <row r="23" spans="1:13" x14ac:dyDescent="0.25">
      <c r="A23" s="107">
        <f t="shared" si="0"/>
        <v>8.3333333333333343E-2</v>
      </c>
      <c r="B23" s="111">
        <v>0.01</v>
      </c>
      <c r="C23" s="22" t="s">
        <v>57</v>
      </c>
      <c r="D23" s="32" t="s">
        <v>71</v>
      </c>
      <c r="E23" s="23"/>
      <c r="F23" s="93" t="s">
        <v>72</v>
      </c>
      <c r="G23" s="95" t="str">
        <f>IF(F23="","",(VLOOKUP($F23,[1]SKU!$A$4:$D$3000,2,FALSE)))</f>
        <v>GARLIC PEELED 1 GAL</v>
      </c>
      <c r="H23" s="5">
        <v>0.03</v>
      </c>
      <c r="I23" s="5">
        <f>IF(F23="","",(VLOOKUP(F23,[1]SKU!$A$4:$D$3000,4,FALSE)))</f>
        <v>11.940524044120853</v>
      </c>
      <c r="J23" s="109" t="str">
        <f>IF(I23="","",(VLOOKUP($F23,[1]SKU!$A$4:$D$3000,3,FALSE)))</f>
        <v>EA</v>
      </c>
      <c r="K23" s="110" t="str">
        <f t="shared" si="2"/>
        <v>DIFFERENT</v>
      </c>
      <c r="L23" s="94">
        <f>I23/128*35.25</f>
        <v>3.2883083793379693</v>
      </c>
      <c r="M23" s="94">
        <f>L23*B23</f>
        <v>3.2883083793379696E-2</v>
      </c>
    </row>
    <row r="24" spans="1:13" x14ac:dyDescent="0.25">
      <c r="A24" s="107">
        <f t="shared" si="0"/>
        <v>8.333333333333335E-3</v>
      </c>
      <c r="B24" s="111">
        <v>1E-3</v>
      </c>
      <c r="C24" s="22" t="s">
        <v>57</v>
      </c>
      <c r="D24" s="32" t="s">
        <v>73</v>
      </c>
      <c r="E24" s="23"/>
      <c r="F24" s="70" t="s">
        <v>74</v>
      </c>
      <c r="G24" s="95" t="str">
        <f>IF(F24="","",(VLOOKUP($F24,[1]SKU!$A$4:$D$3000,2,FALSE)))</f>
        <v>SALT TABLE IODIZED</v>
      </c>
      <c r="H24" s="5">
        <f t="shared" ref="H24:H25" si="3">IF(F24="","",(B24*I24))</f>
        <v>3.4324673674329979E-4</v>
      </c>
      <c r="I24" s="5">
        <f>IF(F24="","",(VLOOKUP(F24,[1]SKU!$A$4:$D$3000,4,FALSE)))</f>
        <v>0.34324673674329981</v>
      </c>
      <c r="J24" s="109" t="str">
        <f>IF(I24="","",(VLOOKUP($F24,[1]SKU!$A$4:$D$3000,3,FALSE)))</f>
        <v>KG</v>
      </c>
      <c r="K24" s="110" t="str">
        <f t="shared" si="2"/>
        <v/>
      </c>
    </row>
    <row r="25" spans="1:13" x14ac:dyDescent="0.25">
      <c r="A25" s="107">
        <f t="shared" si="0"/>
        <v>8.333333333333335E-3</v>
      </c>
      <c r="B25" s="22">
        <v>1E-3</v>
      </c>
      <c r="C25" s="96" t="s">
        <v>57</v>
      </c>
      <c r="D25" s="23" t="s">
        <v>75</v>
      </c>
      <c r="E25" s="93"/>
      <c r="F25" s="95" t="s">
        <v>76</v>
      </c>
      <c r="G25" s="95" t="str">
        <f>IF(F25="","",(VLOOKUP($F25,[1]SKU!$A$4:$D$3000,2,FALSE)))</f>
        <v>Pepper Black Ground</v>
      </c>
      <c r="H25" s="5">
        <f t="shared" si="3"/>
        <v>1.8543221549417611E-2</v>
      </c>
      <c r="I25" s="5">
        <f>IF(F25="","",(VLOOKUP(F25,[1]SKU!$A$4:$D$3000,4,FALSE)))</f>
        <v>18.543221549417609</v>
      </c>
      <c r="J25" s="109" t="str">
        <f>IF(I25="","",(VLOOKUP($F25,[1]SKU!$A$4:$D$3000,3,FALSE)))</f>
        <v>KG</v>
      </c>
      <c r="K25" s="110" t="str">
        <f t="shared" si="2"/>
        <v/>
      </c>
    </row>
    <row r="26" spans="1:13" x14ac:dyDescent="0.25">
      <c r="A26" s="107">
        <f t="shared" si="0"/>
        <v>0.29166666666666674</v>
      </c>
      <c r="B26" s="22">
        <v>3.5000000000000003E-2</v>
      </c>
      <c r="C26" s="96" t="s">
        <v>107</v>
      </c>
      <c r="D26" s="23" t="s">
        <v>80</v>
      </c>
      <c r="E26" s="15" t="s">
        <v>108</v>
      </c>
      <c r="F26" s="95" t="str">
        <f ca="1">IF(E26="","",(VLOOKUP($F26,[1]SKU!$A$4:$D$3000,2,FALSE)))</f>
        <v/>
      </c>
      <c r="G26" s="95" t="str">
        <f ca="1">IF(F26="","",(VLOOKUP($F26,[1]SKU!$A$4:$D$3000,2,FALSE)))</f>
        <v/>
      </c>
      <c r="H26" s="5">
        <f>1.32/200*35</f>
        <v>0.23100000000000001</v>
      </c>
      <c r="I26" s="5" t="str">
        <f ca="1">IF(F26="","",(VLOOKUP(F26,[1]SKU!$A$4:$D$3000,4,FALSE)))</f>
        <v/>
      </c>
      <c r="J26" s="109" t="str">
        <f ca="1">IF(I26="","",(VLOOKUP($F26,[1]SKU!$A$4:$D$3000,3,FALSE)))</f>
        <v/>
      </c>
      <c r="K26" s="110" t="str">
        <f t="shared" ca="1" si="2"/>
        <v/>
      </c>
    </row>
    <row r="27" spans="1:13" x14ac:dyDescent="0.25">
      <c r="A27" s="107">
        <f t="shared" si="0"/>
        <v>0</v>
      </c>
      <c r="B27" s="97"/>
      <c r="C27" s="22"/>
      <c r="D27" s="95"/>
      <c r="E27" s="23"/>
      <c r="F27" s="93"/>
      <c r="G27" s="71"/>
      <c r="H27" s="63"/>
      <c r="I27" s="63"/>
      <c r="J27" s="64"/>
      <c r="K27" s="72" t="str">
        <f>IF(J27="","",IF(J27=#REF!,"","DIFFERENT"))</f>
        <v/>
      </c>
    </row>
    <row r="28" spans="1:13" ht="15.75" customHeight="1" x14ac:dyDescent="0.25">
      <c r="A28" s="101" t="s">
        <v>38</v>
      </c>
      <c r="B28" s="80">
        <f>SUM(B16:B27)</f>
        <v>1.0329999999999999</v>
      </c>
      <c r="C28" s="17"/>
      <c r="D28" s="15"/>
      <c r="E28" s="26"/>
      <c r="F28" s="17"/>
      <c r="G28" s="73" t="s">
        <v>37</v>
      </c>
      <c r="H28" s="74">
        <f>SUM(H16:H27)</f>
        <v>3.1911338927452539</v>
      </c>
      <c r="I28" s="63" t="str">
        <f>IF(F28="","",VLOOKUP(F28,[1]SKU!$A$5:$D$3000,4,FALSE))</f>
        <v/>
      </c>
      <c r="J28" s="64" t="str">
        <f>IF(F28="","",(VLOOKUP(F28,[1]SKU!$A$5:$D$3000,3,FALSE)))</f>
        <v/>
      </c>
      <c r="K28" s="72"/>
    </row>
    <row r="29" spans="1:13" s="6" customFormat="1" ht="15" customHeight="1" x14ac:dyDescent="0.25">
      <c r="A29" s="28"/>
      <c r="B29" s="25"/>
      <c r="C29" s="17"/>
      <c r="D29" s="14"/>
      <c r="E29" s="14"/>
      <c r="F29" s="24"/>
      <c r="G29" s="75" t="s">
        <v>42</v>
      </c>
      <c r="H29" s="76">
        <f>H28/C5</f>
        <v>0.53185564879087566</v>
      </c>
      <c r="I29" s="76" t="str">
        <f>IF(F29="","",VLOOKUP(F29,[1]SKU!$A$5:$D$3000,4,FALSE))</f>
        <v/>
      </c>
      <c r="J29" s="77" t="str">
        <f>IF(F29="","",(VLOOKUP(F29,[1]SKU!$A$5:$D$3000,3,FALSE)))</f>
        <v/>
      </c>
      <c r="K29" s="72"/>
    </row>
    <row r="30" spans="1:13" s="6" customFormat="1" ht="15" customHeight="1" x14ac:dyDescent="0.25">
      <c r="A30" s="28"/>
      <c r="B30" s="25"/>
      <c r="C30" s="17"/>
      <c r="D30" s="14"/>
      <c r="E30" s="14"/>
      <c r="F30" s="24"/>
      <c r="G30" s="75"/>
      <c r="H30" s="76"/>
      <c r="I30" s="76"/>
      <c r="J30" s="77"/>
      <c r="K30" s="72"/>
    </row>
    <row r="31" spans="1:13" s="6" customFormat="1" ht="15" customHeight="1" x14ac:dyDescent="0.25">
      <c r="A31" s="28"/>
      <c r="B31" s="119"/>
      <c r="C31" s="119"/>
      <c r="D31" s="122" t="s">
        <v>106</v>
      </c>
      <c r="E31" s="122"/>
      <c r="F31" s="95" t="str">
        <f>IF(E31="","",(VLOOKUP($F31,[1]SKU!$A$4:$D$3000,2,FALSE)))</f>
        <v/>
      </c>
      <c r="G31" s="95" t="str">
        <f>IF(F31="","",(VLOOKUP($F31,[1]SKU!$A$4:$D$3000,2,FALSE)))</f>
        <v/>
      </c>
      <c r="H31" s="5" t="str">
        <f t="shared" ref="H31:H40" si="4">IF(F31="","",(B31*I31))</f>
        <v/>
      </c>
      <c r="I31" s="5" t="str">
        <f>IF(F31="","",(VLOOKUP(F31,[1]SKU!$A$4:$D$3000,4,FALSE)))</f>
        <v/>
      </c>
      <c r="J31" s="109" t="str">
        <f>IF(I31="","",(VLOOKUP($F31,[1]SKU!$A$4:$D$3000,3,FALSE)))</f>
        <v/>
      </c>
      <c r="K31" s="110" t="str">
        <f t="shared" ref="K31:K40" si="5">IF(J31="","",IF(J31=$C31,"","DIFFERENT"))</f>
        <v/>
      </c>
    </row>
    <row r="32" spans="1:13" s="6" customFormat="1" ht="15" customHeight="1" x14ac:dyDescent="0.25">
      <c r="A32" s="28"/>
      <c r="B32" s="111">
        <v>0.1</v>
      </c>
      <c r="C32" s="32" t="s">
        <v>64</v>
      </c>
      <c r="D32" s="23" t="s">
        <v>69</v>
      </c>
      <c r="E32" s="93"/>
      <c r="F32" s="93" t="s">
        <v>70</v>
      </c>
      <c r="G32" s="95" t="str">
        <f>IF(F32="","",(VLOOKUP($F32,[1]SKU!$A$4:$D$3000,2,FALSE)))</f>
        <v>Oil Olive Extra Virgin</v>
      </c>
      <c r="H32" s="5">
        <f t="shared" si="4"/>
        <v>0.42862703360735843</v>
      </c>
      <c r="I32" s="5">
        <f>IF(F32="","",(VLOOKUP(F32,[1]SKU!$A$4:$D$3000,4,FALSE)))</f>
        <v>4.2862703360735841</v>
      </c>
      <c r="J32" s="109" t="str">
        <f>IF(I32="","",(VLOOKUP($F32,[1]SKU!$A$4:$D$3000,3,FALSE)))</f>
        <v>LT</v>
      </c>
      <c r="K32" s="110" t="str">
        <f t="shared" si="5"/>
        <v/>
      </c>
    </row>
    <row r="33" spans="1:12" s="6" customFormat="1" ht="15" customHeight="1" x14ac:dyDescent="0.25">
      <c r="A33" s="28"/>
      <c r="B33" s="111">
        <v>0.03</v>
      </c>
      <c r="C33" s="112" t="s">
        <v>64</v>
      </c>
      <c r="D33" s="23" t="s">
        <v>81</v>
      </c>
      <c r="E33" s="15"/>
      <c r="F33" s="93" t="s">
        <v>82</v>
      </c>
      <c r="G33" s="95" t="str">
        <f>IF(F33="","",(VLOOKUP($F33,[1]SKU!$A$4:$D$3000,2,FALSE)))</f>
        <v>Apple Cider Vinegar Liter</v>
      </c>
      <c r="H33" s="5">
        <f t="shared" si="4"/>
        <v>2.4865336658354123E-2</v>
      </c>
      <c r="I33" s="5">
        <f>IF(F33="","",(VLOOKUP(F33,[1]SKU!$A$4:$D$3000,4,FALSE)))</f>
        <v>0.82884455527847078</v>
      </c>
      <c r="J33" s="109" t="str">
        <f>IF(I33="","",(VLOOKUP($F33,[1]SKU!$A$4:$D$3000,3,FALSE)))</f>
        <v>LT</v>
      </c>
      <c r="K33" s="110" t="str">
        <f t="shared" si="5"/>
        <v/>
      </c>
    </row>
    <row r="34" spans="1:12" s="6" customFormat="1" ht="15" customHeight="1" x14ac:dyDescent="0.25">
      <c r="A34" s="28"/>
      <c r="B34" s="111">
        <v>0.01</v>
      </c>
      <c r="C34" s="15" t="s">
        <v>64</v>
      </c>
      <c r="D34" s="112" t="s">
        <v>83</v>
      </c>
      <c r="E34" s="23"/>
      <c r="F34" s="93" t="s">
        <v>66</v>
      </c>
      <c r="G34" s="95" t="str">
        <f>IF(F34="","",(VLOOKUP($F34,[1]SKU!$A$4:$D$3000,2,FALSE)))</f>
        <v>Lemon Juice Pure</v>
      </c>
      <c r="H34" s="5">
        <f t="shared" si="4"/>
        <v>8.3568139719502523E-3</v>
      </c>
      <c r="I34" s="5">
        <f>IF(F34="","",(VLOOKUP(F34,[1]SKU!$A$4:$D$3000,4,FALSE)))</f>
        <v>0.83568139719502521</v>
      </c>
      <c r="J34" s="109" t="str">
        <f>IF(I34="","",(VLOOKUP($F34,[1]SKU!$A$4:$D$3000,3,FALSE)))</f>
        <v>LT</v>
      </c>
      <c r="K34" s="110" t="str">
        <f t="shared" si="5"/>
        <v/>
      </c>
    </row>
    <row r="35" spans="1:12" s="6" customFormat="1" ht="15" customHeight="1" x14ac:dyDescent="0.25">
      <c r="A35" s="28"/>
      <c r="B35" s="111">
        <v>1.4999999999999999E-2</v>
      </c>
      <c r="C35" s="113" t="s">
        <v>57</v>
      </c>
      <c r="D35" s="114" t="s">
        <v>84</v>
      </c>
      <c r="E35" s="23"/>
      <c r="F35" s="93" t="s">
        <v>85</v>
      </c>
      <c r="G35" s="95" t="str">
        <f>IF(F35="","",(VLOOKUP($F35,[1]SKU!$A$4:$D$3000,2,FALSE)))</f>
        <v>Mustard Dijon(Original French) 8 Oz Btl</v>
      </c>
      <c r="H35" s="5">
        <f>L35</f>
        <v>1.0782094039561017E-4</v>
      </c>
      <c r="I35" s="5">
        <f>IF(F35="","",(VLOOKUP(F35,[1]SKU!$A$4:$D$3000,4,FALSE)))</f>
        <v>1.9829138463560489</v>
      </c>
      <c r="J35" s="109" t="str">
        <f>IF(I35="","",(VLOOKUP($F35,[1]SKU!$A$4:$D$3000,3,FALSE)))</f>
        <v>EA</v>
      </c>
      <c r="K35" s="110" t="str">
        <f t="shared" si="5"/>
        <v>DIFFERENT</v>
      </c>
      <c r="L35" s="115">
        <f>I35/8*0.029*0.015</f>
        <v>1.0782094039561017E-4</v>
      </c>
    </row>
    <row r="36" spans="1:12" s="6" customFormat="1" ht="15" customHeight="1" x14ac:dyDescent="0.25">
      <c r="A36" s="28"/>
      <c r="B36" s="111">
        <v>0.01</v>
      </c>
      <c r="C36" s="113" t="s">
        <v>57</v>
      </c>
      <c r="D36" s="114" t="s">
        <v>71</v>
      </c>
      <c r="E36" s="23"/>
      <c r="F36" s="93" t="s">
        <v>72</v>
      </c>
      <c r="G36" s="95" t="str">
        <f>IF(F36="","",(VLOOKUP($F36,[1]SKU!$A$4:$D$3000,2,FALSE)))</f>
        <v>GARLIC PEELED 1 GAL</v>
      </c>
      <c r="H36" s="5">
        <f>L36</f>
        <v>2.2601786947039279E-2</v>
      </c>
      <c r="I36" s="5">
        <f>IF(F36="","",(VLOOKUP(F36,[1]SKU!$A$4:$D$3000,4,FALSE)))</f>
        <v>11.940524044120853</v>
      </c>
      <c r="J36" s="109" t="str">
        <f>IF(I36="","",(VLOOKUP($F36,[1]SKU!$A$4:$D$3000,3,FALSE)))</f>
        <v>EA</v>
      </c>
      <c r="K36" s="110" t="str">
        <f t="shared" si="5"/>
        <v>DIFFERENT</v>
      </c>
      <c r="L36" s="115">
        <f>I36/5.283*0.01</f>
        <v>2.2601786947039279E-2</v>
      </c>
    </row>
    <row r="37" spans="1:12" s="6" customFormat="1" ht="15" customHeight="1" x14ac:dyDescent="0.25">
      <c r="A37" s="28"/>
      <c r="B37" s="111">
        <v>0.03</v>
      </c>
      <c r="C37" s="113" t="s">
        <v>57</v>
      </c>
      <c r="D37" s="114" t="s">
        <v>67</v>
      </c>
      <c r="E37" s="112"/>
      <c r="F37" s="93" t="s">
        <v>68</v>
      </c>
      <c r="G37" s="95" t="str">
        <f>IF(F37="","",(VLOOKUP($F37,[1]SKU!$A$4:$D$3000,2,FALSE)))</f>
        <v>Herb, Basil Opal / Red, Bulk, Fresh</v>
      </c>
      <c r="H37" s="5">
        <f t="shared" si="4"/>
        <v>0.79411764705882359</v>
      </c>
      <c r="I37" s="5">
        <f>IF(F37="","",(VLOOKUP(F37,[1]SKU!$A$4:$D$3000,4,FALSE)))</f>
        <v>26.47058823529412</v>
      </c>
      <c r="J37" s="109" t="str">
        <f>IF(I37="","",(VLOOKUP($F37,[1]SKU!$A$4:$D$3000,3,FALSE)))</f>
        <v>KG</v>
      </c>
      <c r="K37" s="110" t="str">
        <f t="shared" si="5"/>
        <v/>
      </c>
    </row>
    <row r="38" spans="1:12" s="6" customFormat="1" ht="15" customHeight="1" x14ac:dyDescent="0.25">
      <c r="A38" s="28"/>
      <c r="B38" s="111">
        <v>0.01</v>
      </c>
      <c r="C38" s="113" t="s">
        <v>57</v>
      </c>
      <c r="D38" s="112" t="s">
        <v>86</v>
      </c>
      <c r="E38" s="16"/>
      <c r="F38" s="93" t="s">
        <v>87</v>
      </c>
      <c r="G38" s="95" t="str">
        <f>IF(F38="","",(VLOOKUP($F38,[1]SKU!$A$4:$D$3000,2,FALSE)))</f>
        <v>Onion, Spring Green, Trimmed, Pencil Size</v>
      </c>
      <c r="H38" s="5">
        <f t="shared" si="4"/>
        <v>2.2685805122337178E-2</v>
      </c>
      <c r="I38" s="5">
        <f>IF(F38="","",(VLOOKUP(F38,[1]SKU!$A$4:$D$3000,4,FALSE)))</f>
        <v>2.2685805122337177</v>
      </c>
      <c r="J38" s="109" t="str">
        <f>IF(I38="","",(VLOOKUP($F38,[1]SKU!$A$4:$D$3000,3,FALSE)))</f>
        <v>KG</v>
      </c>
      <c r="K38" s="110" t="str">
        <f t="shared" si="5"/>
        <v/>
      </c>
    </row>
    <row r="39" spans="1:12" s="6" customFormat="1" ht="15" customHeight="1" x14ac:dyDescent="0.25">
      <c r="A39" s="28"/>
      <c r="B39" s="111">
        <v>1E-3</v>
      </c>
      <c r="C39" s="113" t="s">
        <v>57</v>
      </c>
      <c r="D39" s="114" t="s">
        <v>73</v>
      </c>
      <c r="E39" s="26"/>
      <c r="F39" s="70" t="s">
        <v>74</v>
      </c>
      <c r="G39" s="95" t="str">
        <f>IF(F39="","",(VLOOKUP($F39,[1]SKU!$A$4:$D$3000,2,FALSE)))</f>
        <v>SALT TABLE IODIZED</v>
      </c>
      <c r="H39" s="5">
        <f t="shared" si="4"/>
        <v>3.4324673674329979E-4</v>
      </c>
      <c r="I39" s="5">
        <f>IF(F39="","",(VLOOKUP(F39,[1]SKU!$A$4:$D$3000,4,FALSE)))</f>
        <v>0.34324673674329981</v>
      </c>
      <c r="J39" s="109" t="str">
        <f>IF(I39="","",(VLOOKUP($F39,[1]SKU!$A$4:$D$3000,3,FALSE)))</f>
        <v>KG</v>
      </c>
      <c r="K39" s="110" t="str">
        <f t="shared" si="5"/>
        <v/>
      </c>
    </row>
    <row r="40" spans="1:12" s="6" customFormat="1" ht="15" customHeight="1" x14ac:dyDescent="0.25">
      <c r="A40" s="28"/>
      <c r="B40" s="111">
        <v>1E-3</v>
      </c>
      <c r="C40" s="113" t="s">
        <v>57</v>
      </c>
      <c r="D40" s="114" t="s">
        <v>75</v>
      </c>
      <c r="E40" s="26"/>
      <c r="F40" s="95" t="s">
        <v>76</v>
      </c>
      <c r="G40" s="95" t="str">
        <f>IF(F40="","",(VLOOKUP($F40,[1]SKU!$A$4:$D$3000,2,FALSE)))</f>
        <v>Pepper Black Ground</v>
      </c>
      <c r="H40" s="5">
        <f t="shared" si="4"/>
        <v>1.8543221549417611E-2</v>
      </c>
      <c r="I40" s="5">
        <f>IF(F40="","",(VLOOKUP(F40,[1]SKU!$A$4:$D$3000,4,FALSE)))</f>
        <v>18.543221549417609</v>
      </c>
      <c r="J40" s="109" t="str">
        <f>IF(I40="","",(VLOOKUP($F40,[1]SKU!$A$4:$D$3000,3,FALSE)))</f>
        <v>KG</v>
      </c>
      <c r="K40" s="110" t="str">
        <f t="shared" si="5"/>
        <v/>
      </c>
    </row>
    <row r="41" spans="1:12" s="6" customFormat="1" ht="15" customHeight="1" x14ac:dyDescent="0.25">
      <c r="A41" s="28"/>
      <c r="B41" s="116" t="s">
        <v>88</v>
      </c>
      <c r="C41" s="17"/>
      <c r="D41" s="14"/>
      <c r="E41" s="14"/>
      <c r="F41" s="24"/>
      <c r="G41" s="75"/>
      <c r="H41" s="76"/>
      <c r="I41" s="76"/>
      <c r="J41" s="77"/>
      <c r="K41" s="72"/>
    </row>
    <row r="42" spans="1:12" s="6" customFormat="1" ht="15" customHeight="1" x14ac:dyDescent="0.25">
      <c r="A42" s="18"/>
      <c r="B42" s="15" t="s">
        <v>89</v>
      </c>
      <c r="C42" s="15"/>
      <c r="D42" s="14"/>
      <c r="E42" s="14"/>
      <c r="F42" s="24"/>
      <c r="G42" s="62"/>
      <c r="H42" s="76"/>
      <c r="I42" s="76"/>
      <c r="J42" s="77"/>
      <c r="K42" s="72"/>
    </row>
    <row r="43" spans="1:12" s="6" customFormat="1" ht="15" customHeight="1" x14ac:dyDescent="0.25">
      <c r="A43" s="101"/>
      <c r="B43" s="14" t="s">
        <v>90</v>
      </c>
      <c r="C43" s="14"/>
      <c r="D43" s="14"/>
      <c r="E43" s="14"/>
      <c r="F43" s="24"/>
      <c r="G43" s="62"/>
      <c r="H43" s="76"/>
      <c r="I43" s="76" t="str">
        <f>IF(F43="","",VLOOKUP(F43,[1]SKU!$A$5:$D$3000,4,FALSE))</f>
        <v/>
      </c>
      <c r="J43" s="77" t="str">
        <f>IF(F43="","",(VLOOKUP(F43,[1]SKU!$A$5:$D$3000,3,FALSE)))</f>
        <v/>
      </c>
      <c r="K43" s="72"/>
    </row>
    <row r="44" spans="1:12" s="6" customFormat="1" ht="15" customHeight="1" x14ac:dyDescent="0.25">
      <c r="A44" s="101"/>
      <c r="B44" s="15" t="s">
        <v>91</v>
      </c>
      <c r="C44" s="14"/>
      <c r="D44" s="14"/>
      <c r="E44" s="14"/>
      <c r="F44" s="24"/>
      <c r="G44" s="62"/>
      <c r="H44" s="76"/>
      <c r="I44" s="76"/>
      <c r="J44" s="77"/>
      <c r="K44" s="72"/>
    </row>
    <row r="45" spans="1:12" s="6" customFormat="1" ht="15" customHeight="1" x14ac:dyDescent="0.25">
      <c r="A45" s="101"/>
      <c r="B45" s="14" t="s">
        <v>95</v>
      </c>
      <c r="C45" s="14"/>
      <c r="D45" s="14"/>
      <c r="E45" s="14"/>
      <c r="F45" s="24"/>
      <c r="G45" s="62"/>
      <c r="H45" s="62"/>
      <c r="I45" s="76" t="str">
        <f>IF(F45="","",VLOOKUP(F45,[1]SKU!$A$5:$D$3000,4,FALSE))</f>
        <v/>
      </c>
      <c r="J45" s="77" t="str">
        <f>IF(F45="","",(VLOOKUP(F45,[1]SKU!$A$5:$D$3000,3,FALSE)))</f>
        <v/>
      </c>
      <c r="K45" s="72"/>
    </row>
    <row r="46" spans="1:12" s="6" customFormat="1" ht="15" customHeight="1" x14ac:dyDescent="0.25">
      <c r="A46" s="101"/>
      <c r="B46" s="15" t="s">
        <v>92</v>
      </c>
      <c r="C46" s="14"/>
      <c r="D46" s="14"/>
      <c r="E46" s="14"/>
      <c r="F46" s="24"/>
      <c r="G46" s="62"/>
      <c r="H46" s="76"/>
      <c r="I46" s="76"/>
      <c r="J46" s="77"/>
      <c r="K46" s="72"/>
    </row>
    <row r="47" spans="1:12" s="6" customFormat="1" ht="15" customHeight="1" x14ac:dyDescent="0.25">
      <c r="A47" s="101"/>
      <c r="B47" s="14" t="s">
        <v>96</v>
      </c>
      <c r="C47" s="14"/>
      <c r="D47" s="14"/>
      <c r="E47" s="14"/>
      <c r="F47" s="24"/>
      <c r="G47" s="62"/>
      <c r="H47" s="76"/>
      <c r="I47" s="76" t="str">
        <f>IF(F47="","",VLOOKUP(F47,[1]SKU!$A$5:$D$3000,4,FALSE))</f>
        <v/>
      </c>
      <c r="J47" s="77" t="str">
        <f>IF(F47="","",(VLOOKUP(F47,[1]SKU!$A$5:$D$3000,3,FALSE)))</f>
        <v/>
      </c>
      <c r="K47" s="72"/>
    </row>
    <row r="48" spans="1:12" s="6" customFormat="1" ht="15" customHeight="1" x14ac:dyDescent="0.25">
      <c r="A48" s="101"/>
      <c r="B48" s="113" t="s">
        <v>93</v>
      </c>
      <c r="C48" s="14"/>
      <c r="D48" s="14"/>
      <c r="E48" s="14"/>
      <c r="F48" s="24"/>
      <c r="G48" s="62"/>
      <c r="H48" s="76"/>
      <c r="I48" s="76"/>
      <c r="J48" s="77"/>
      <c r="K48" s="72"/>
    </row>
    <row r="49" spans="1:11" s="6" customFormat="1" ht="15" customHeight="1" x14ac:dyDescent="0.25">
      <c r="A49" s="101"/>
      <c r="B49" s="14" t="s">
        <v>97</v>
      </c>
      <c r="C49" s="14"/>
      <c r="D49" s="14"/>
      <c r="E49" s="14"/>
      <c r="F49" s="24"/>
      <c r="G49" s="62"/>
      <c r="H49" s="76"/>
      <c r="I49" s="76"/>
      <c r="J49" s="77"/>
      <c r="K49" s="72"/>
    </row>
    <row r="50" spans="1:11" s="6" customFormat="1" ht="15" customHeight="1" x14ac:dyDescent="0.25">
      <c r="A50" s="101"/>
      <c r="B50" s="15"/>
      <c r="C50" s="14"/>
      <c r="D50" s="14"/>
      <c r="E50" s="14"/>
      <c r="F50" s="24"/>
      <c r="G50" s="62"/>
      <c r="H50" s="76"/>
      <c r="I50" s="76"/>
      <c r="J50" s="77"/>
      <c r="K50" s="72"/>
    </row>
    <row r="51" spans="1:11" s="6" customFormat="1" x14ac:dyDescent="0.25">
      <c r="A51" s="101"/>
      <c r="B51" s="117" t="s">
        <v>98</v>
      </c>
      <c r="C51" s="14"/>
      <c r="D51" s="14"/>
      <c r="E51" s="14"/>
      <c r="F51" s="24"/>
      <c r="G51" s="62"/>
      <c r="H51" s="76"/>
      <c r="I51" s="76" t="str">
        <f>IF(F51="","",VLOOKUP(F51,[1]SKU!$A$5:$D$3000,4,FALSE))</f>
        <v/>
      </c>
      <c r="J51" s="77" t="str">
        <f>IF(F51="","",(VLOOKUP(F51,[1]SKU!$A$5:$D$3000,3,FALSE)))</f>
        <v/>
      </c>
      <c r="K51" s="72"/>
    </row>
    <row r="52" spans="1:11" s="6" customFormat="1" x14ac:dyDescent="0.25">
      <c r="A52" s="101"/>
      <c r="B52" s="113" t="s">
        <v>94</v>
      </c>
      <c r="C52" s="14"/>
      <c r="D52" s="14"/>
      <c r="E52" s="14"/>
      <c r="F52" s="24"/>
      <c r="G52" s="62"/>
      <c r="H52" s="76"/>
      <c r="I52" s="76" t="str">
        <f>IF(F52="","",VLOOKUP(F52,[1]SKU!$A$5:$D$3000,4,FALSE))</f>
        <v/>
      </c>
      <c r="J52" s="77" t="str">
        <f>IF(F52="","",(VLOOKUP(F52,[1]SKU!$A$5:$D$3000,3,FALSE)))</f>
        <v/>
      </c>
      <c r="K52" s="72"/>
    </row>
    <row r="53" spans="1:11" s="6" customFormat="1" x14ac:dyDescent="0.25">
      <c r="A53" s="101"/>
      <c r="B53" s="14" t="s">
        <v>99</v>
      </c>
      <c r="C53" s="14"/>
      <c r="D53" s="14"/>
      <c r="E53" s="14"/>
      <c r="F53" s="24"/>
      <c r="G53" s="62"/>
      <c r="H53" s="76"/>
      <c r="I53" s="76" t="str">
        <f>IF(F53="","",VLOOKUP(F53,[1]SKU!$A$5:$D$3000,4,FALSE))</f>
        <v/>
      </c>
      <c r="J53" s="77" t="str">
        <f>IF(F53="","",(VLOOKUP(F53,[1]SKU!$A$5:$D$3000,3,FALSE)))</f>
        <v/>
      </c>
      <c r="K53" s="72"/>
    </row>
    <row r="54" spans="1:11" s="6" customFormat="1" x14ac:dyDescent="0.25">
      <c r="A54" s="101"/>
      <c r="B54" s="15"/>
      <c r="C54" s="37"/>
      <c r="D54" s="14"/>
      <c r="E54" s="14"/>
      <c r="F54" s="24"/>
      <c r="G54" s="62"/>
      <c r="H54" s="76"/>
      <c r="I54" s="76" t="str">
        <f>IF(F54="","",VLOOKUP(F54,[1]SKU!$A$5:$D$3000,4,FALSE))</f>
        <v/>
      </c>
      <c r="J54" s="77" t="str">
        <f>IF(F54="","",(VLOOKUP(F54,[1]SKU!$A$5:$D$3000,3,FALSE)))</f>
        <v/>
      </c>
      <c r="K54" s="72"/>
    </row>
    <row r="55" spans="1:11" s="6" customFormat="1" x14ac:dyDescent="0.25">
      <c r="A55" s="37"/>
      <c r="B55" s="117"/>
      <c r="C55" s="37"/>
      <c r="D55" s="14"/>
      <c r="E55" s="14"/>
      <c r="F55" s="24"/>
      <c r="G55" s="62" t="str">
        <f>IF(F55="","",(VLOOKUP(F55,[1]SKU!$A$5:$D$3000,2,FALSE)))</f>
        <v/>
      </c>
      <c r="H55" s="76"/>
      <c r="I55" s="76" t="str">
        <f>IF(F55="","",VLOOKUP(F55,[1]SKU!$A$5:$D$3000,4,FALSE))</f>
        <v/>
      </c>
      <c r="J55" s="77" t="str">
        <f>IF(F55="","",(VLOOKUP(F55,[1]SKU!$A$5:$D$3000,3,FALSE)))</f>
        <v/>
      </c>
      <c r="K55" s="72"/>
    </row>
    <row r="56" spans="1:11" s="6" customFormat="1" x14ac:dyDescent="0.25">
      <c r="A56" s="101"/>
      <c r="B56" s="15"/>
      <c r="C56" s="37"/>
      <c r="D56" s="14"/>
      <c r="E56" s="14"/>
      <c r="F56" s="24"/>
      <c r="G56" s="62" t="str">
        <f>IF(F56="","",(VLOOKUP(F56,[1]SKU!$A$5:$D$3000,2,FALSE)))</f>
        <v/>
      </c>
      <c r="H56" s="76"/>
      <c r="I56" s="76" t="str">
        <f>IF(F56="","",VLOOKUP(F56,[1]SKU!$A$5:$D$3000,4,FALSE))</f>
        <v/>
      </c>
      <c r="J56" s="77" t="str">
        <f>IF(F56="","",(VLOOKUP(F56,[1]SKU!$A$5:$D$3000,3,FALSE)))</f>
        <v/>
      </c>
      <c r="K56" s="72"/>
    </row>
    <row r="57" spans="1:11" s="6" customFormat="1" x14ac:dyDescent="0.25">
      <c r="A57" s="101"/>
      <c r="B57" s="14"/>
      <c r="C57" s="37"/>
      <c r="D57" s="14"/>
      <c r="E57" s="14"/>
      <c r="F57" s="24"/>
      <c r="G57" s="62" t="str">
        <f>IF(F57="","",(VLOOKUP(F57,[2]SKU!$A$5:$D$3000,2,FALSE)))</f>
        <v/>
      </c>
      <c r="H57" s="76"/>
      <c r="I57" s="76" t="str">
        <f>IF(F57="","",VLOOKUP(F57,[1]SKU!$A$5:$D$3000,4,FALSE))</f>
        <v/>
      </c>
      <c r="J57" s="77" t="str">
        <f>IF(F57="","",(VLOOKUP(F57,[1]SKU!$A$5:$D$3000,3,FALSE)))</f>
        <v/>
      </c>
      <c r="K57" s="72"/>
    </row>
    <row r="58" spans="1:11" s="6" customFormat="1" x14ac:dyDescent="0.25">
      <c r="A58" s="101"/>
      <c r="B58" s="15"/>
      <c r="C58" s="37"/>
      <c r="D58" s="98"/>
      <c r="E58" s="14"/>
      <c r="F58" s="24"/>
      <c r="G58" s="48" t="str">
        <f>IF(F58="","",(VLOOKUP(F58,[2]SKU!$A$5:$D$3000,2,FALSE)))</f>
        <v/>
      </c>
      <c r="H58" s="49"/>
      <c r="I58" s="49" t="str">
        <f>IF(F58="","",VLOOKUP(F58,[1]SKU!$A$5:$D$3000,4,FALSE))</f>
        <v/>
      </c>
      <c r="J58" s="50" t="str">
        <f>IF(F58="","",(VLOOKUP(F58,[1]SKU!$A$5:$D$3000,3,FALSE)))</f>
        <v/>
      </c>
      <c r="K58" s="51"/>
    </row>
    <row r="59" spans="1:11" s="6" customFormat="1" x14ac:dyDescent="0.25">
      <c r="A59" s="101"/>
      <c r="B59" s="15"/>
      <c r="C59" s="17"/>
      <c r="D59" s="14"/>
      <c r="E59" s="14"/>
      <c r="F59" s="24"/>
      <c r="G59" s="33" t="str">
        <f>IF(F59="","",(VLOOKUP(F59,[2]SKU!$A$5:$D$3000,2,FALSE)))</f>
        <v/>
      </c>
      <c r="H59" s="35"/>
      <c r="I59" s="35" t="str">
        <f>IF(F59="","",VLOOKUP(F59,[1]SKU!$A$5:$D$3000,4,FALSE))</f>
        <v/>
      </c>
      <c r="J59" s="45" t="str">
        <f>IF(F59="","",(VLOOKUP(F59,[1]SKU!$A$5:$D$3000,3,FALSE)))</f>
        <v/>
      </c>
      <c r="K59" s="41"/>
    </row>
    <row r="60" spans="1:11" x14ac:dyDescent="0.25">
      <c r="A60" s="101"/>
      <c r="B60" s="27"/>
      <c r="C60" s="14"/>
      <c r="D60" s="37"/>
      <c r="E60" s="32" t="s">
        <v>13</v>
      </c>
      <c r="F60" s="17"/>
      <c r="G60" s="33" t="str">
        <f>IF(F60="","",(VLOOKUP(F60,[2]SKU!$A$5:$D$3000,2,FALSE)))</f>
        <v/>
      </c>
      <c r="H60" s="34"/>
      <c r="I60" s="34" t="str">
        <f>IF(F60="","",VLOOKUP(F60,[1]SKU!$A$5:$D$3000,4,FALSE))</f>
        <v/>
      </c>
      <c r="J60" s="44" t="str">
        <f>IF(F60="","",(VLOOKUP(F60,[1]SKU!$A$5:$D$3000,3,FALSE)))</f>
        <v/>
      </c>
      <c r="K60" s="41"/>
    </row>
    <row r="61" spans="1:11" x14ac:dyDescent="0.25">
      <c r="A61" s="101"/>
      <c r="B61" s="15"/>
      <c r="C61" s="15"/>
      <c r="D61" s="37"/>
      <c r="E61" s="14"/>
      <c r="F61" s="17"/>
      <c r="G61" s="33" t="str">
        <f>IF(F61="","",(VLOOKUP(F61,[2]SKU!$A$5:$B$3000,2,FALSE)))</f>
        <v/>
      </c>
      <c r="H61" s="34"/>
      <c r="I61" s="34" t="str">
        <f>IF(F61="","",VLOOKUP(F61,[1]SKU!$A$5:$D$3000,4,FALSE))</f>
        <v/>
      </c>
      <c r="J61" s="44" t="str">
        <f>IF(F61="","",(VLOOKUP(F61,[1]SKU!$A$5:$D$3000,3,FALSE)))</f>
        <v/>
      </c>
      <c r="K61" s="41"/>
    </row>
    <row r="62" spans="1:11" x14ac:dyDescent="0.25">
      <c r="G62" s="6" t="str">
        <f>IF(F62="","",(VLOOKUP(F62,[2]SKU!$A$5:$B$3000,2,FALSE)))</f>
        <v/>
      </c>
      <c r="I62" s="5" t="str">
        <f>IF(F62="","",VLOOKUP(F62,[1]SKU!$A$5:$D$3000,4,FALSE))</f>
        <v/>
      </c>
      <c r="J62" s="46" t="str">
        <f>IF(F62="","",(VLOOKUP(F62,[1]SKU!$A$5:$D$3000,3,FALSE)))</f>
        <v/>
      </c>
      <c r="K62" s="42"/>
    </row>
    <row r="63" spans="1:11" x14ac:dyDescent="0.25">
      <c r="G63" s="6" t="str">
        <f>IF(F63="","",(VLOOKUP(F63,[2]SKU!$A$5:$B$3000,2,FALSE)))</f>
        <v/>
      </c>
    </row>
    <row r="64" spans="1:11" x14ac:dyDescent="0.25">
      <c r="G64" s="6" t="str">
        <f>IF(F64="","",(VLOOKUP(F64,[2]SKU!$A$5:$B$3000,2,FALSE)))</f>
        <v/>
      </c>
    </row>
    <row r="65" spans="7:7" x14ac:dyDescent="0.25">
      <c r="G65" s="6" t="str">
        <f>IF(F65="","",(VLOOKUP(F65,[2]SKU!$A$5:$B$3000,2,FALSE)))</f>
        <v/>
      </c>
    </row>
    <row r="66" spans="7:7" x14ac:dyDescent="0.25">
      <c r="G66" s="6" t="str">
        <f>IF(F66="","",(VLOOKUP(F66,[2]SKU!$A$5:$B$3000,2,FALSE)))</f>
        <v/>
      </c>
    </row>
  </sheetData>
  <mergeCells count="3">
    <mergeCell ref="B31:C31"/>
    <mergeCell ref="B2:E2"/>
    <mergeCell ref="D31:E31"/>
  </mergeCells>
  <conditionalFormatting sqref="K51:K62 K28:K30 K41:K44">
    <cfRule type="cellIs" dxfId="5" priority="24" operator="equal">
      <formula>"DIFFERENT"</formula>
    </cfRule>
  </conditionalFormatting>
  <conditionalFormatting sqref="K45:K50">
    <cfRule type="cellIs" dxfId="4" priority="12" operator="equal">
      <formula>"DIFFERENT"</formula>
    </cfRule>
  </conditionalFormatting>
  <conditionalFormatting sqref="K27">
    <cfRule type="containsText" dxfId="3" priority="4" operator="containsText" text="DIFFERENT">
      <formula>NOT(ISERROR(SEARCH("DIFFERENT",K27)))</formula>
    </cfRule>
    <cfRule type="cellIs" dxfId="2" priority="5" operator="equal">
      <formula>"DIFFERENT"</formula>
    </cfRule>
  </conditionalFormatting>
  <conditionalFormatting sqref="K16:K26">
    <cfRule type="cellIs" dxfId="1" priority="2" operator="equal">
      <formula>"DIFFERENT"</formula>
    </cfRule>
  </conditionalFormatting>
  <conditionalFormatting sqref="K31:K40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legacyDrawing r:id="rId3"/>
  <oleObjects>
    <mc:AlternateContent xmlns:mc="http://schemas.openxmlformats.org/markup-compatibility/2006">
      <mc:Choice Requires="x14">
        <oleObject progId="PowerPoint.Show.12" shapeId="1027" r:id="rId4">
          <objectPr defaultSize="0" autoPict="0" r:id="rId5">
            <anchor moveWithCells="1">
              <from>
                <xdr:col>5</xdr:col>
                <xdr:colOff>295275</xdr:colOff>
                <xdr:row>0</xdr:row>
                <xdr:rowOff>19050</xdr:rowOff>
              </from>
              <to>
                <xdr:col>8</xdr:col>
                <xdr:colOff>142875</xdr:colOff>
                <xdr:row>11</xdr:row>
                <xdr:rowOff>171450</xdr:rowOff>
              </to>
            </anchor>
          </objectPr>
        </oleObject>
      </mc:Choice>
      <mc:Fallback>
        <oleObject progId="PowerPoint.Show.12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14</v>
      </c>
      <c r="F1" s="31"/>
    </row>
    <row r="2" spans="2:6" x14ac:dyDescent="0.25">
      <c r="E2" s="31"/>
      <c r="F2" s="31"/>
    </row>
    <row r="3" spans="2:6" x14ac:dyDescent="0.25">
      <c r="B3" t="s">
        <v>33</v>
      </c>
      <c r="E3" s="31" t="s">
        <v>19</v>
      </c>
      <c r="F3" s="31"/>
    </row>
    <row r="4" spans="2:6" x14ac:dyDescent="0.25">
      <c r="B4" t="s">
        <v>34</v>
      </c>
      <c r="E4" s="31" t="s">
        <v>29</v>
      </c>
      <c r="F4" s="31"/>
    </row>
    <row r="5" spans="2:6" x14ac:dyDescent="0.25">
      <c r="B5" t="s">
        <v>35</v>
      </c>
      <c r="E5" s="31" t="s">
        <v>15</v>
      </c>
      <c r="F5" s="31"/>
    </row>
    <row r="6" spans="2:6" x14ac:dyDescent="0.25">
      <c r="E6" s="31" t="s">
        <v>17</v>
      </c>
      <c r="F6" s="31"/>
    </row>
    <row r="7" spans="2:6" x14ac:dyDescent="0.25">
      <c r="E7" s="31" t="s">
        <v>28</v>
      </c>
      <c r="F7" s="31"/>
    </row>
    <row r="8" spans="2:6" x14ac:dyDescent="0.25">
      <c r="B8" t="s">
        <v>32</v>
      </c>
      <c r="E8" s="31" t="s">
        <v>18</v>
      </c>
      <c r="F8" s="31"/>
    </row>
    <row r="9" spans="2:6" x14ac:dyDescent="0.25">
      <c r="E9" s="31" t="s">
        <v>22</v>
      </c>
      <c r="F9" s="31"/>
    </row>
    <row r="10" spans="2:6" x14ac:dyDescent="0.25">
      <c r="B10" t="s">
        <v>36</v>
      </c>
      <c r="E10" s="31" t="s">
        <v>21</v>
      </c>
      <c r="F10" s="31"/>
    </row>
    <row r="11" spans="2:6" x14ac:dyDescent="0.25">
      <c r="E11" s="31" t="s">
        <v>26</v>
      </c>
      <c r="F11" s="31"/>
    </row>
    <row r="12" spans="2:6" x14ac:dyDescent="0.25">
      <c r="E12" s="31" t="s">
        <v>24</v>
      </c>
      <c r="F12" s="31"/>
    </row>
    <row r="13" spans="2:6" x14ac:dyDescent="0.25">
      <c r="E13" s="31" t="s">
        <v>23</v>
      </c>
      <c r="F13" s="31"/>
    </row>
    <row r="14" spans="2:6" x14ac:dyDescent="0.25">
      <c r="E14" s="31" t="s">
        <v>20</v>
      </c>
      <c r="F14" s="31"/>
    </row>
    <row r="15" spans="2:6" x14ac:dyDescent="0.25">
      <c r="E15" s="31" t="s">
        <v>25</v>
      </c>
      <c r="F15" s="31"/>
    </row>
    <row r="16" spans="2:6" x14ac:dyDescent="0.25">
      <c r="E16" s="31" t="s">
        <v>16</v>
      </c>
      <c r="F16" s="31"/>
    </row>
    <row r="17" spans="5:6" x14ac:dyDescent="0.25">
      <c r="E17" s="31" t="s">
        <v>27</v>
      </c>
      <c r="F17" s="31"/>
    </row>
    <row r="18" spans="5:6" x14ac:dyDescent="0.25">
      <c r="E18" s="31" t="s">
        <v>30</v>
      </c>
      <c r="F18" s="31"/>
    </row>
    <row r="19" spans="5:6" x14ac:dyDescent="0.25">
      <c r="E19" s="31" t="s">
        <v>31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Shipboard Systems</cp:lastModifiedBy>
  <cp:lastPrinted>2017-03-08T17:35:15Z</cp:lastPrinted>
  <dcterms:created xsi:type="dcterms:W3CDTF">2012-02-13T23:35:12Z</dcterms:created>
  <dcterms:modified xsi:type="dcterms:W3CDTF">2017-07-12T17:29:12Z</dcterms:modified>
</cp:coreProperties>
</file>