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Recipe!$A$1:$K$50</definedName>
  </definedNames>
  <calcPr calcId="145621"/>
</workbook>
</file>

<file path=xl/calcChain.xml><?xml version="1.0" encoding="utf-8"?>
<calcChain xmlns="http://schemas.openxmlformats.org/spreadsheetml/2006/main">
  <c r="G31" i="1" l="1"/>
  <c r="I31" i="1"/>
  <c r="H31" i="1" s="1"/>
  <c r="G32" i="1"/>
  <c r="I32" i="1"/>
  <c r="H32" i="1" s="1"/>
  <c r="J32" i="1"/>
  <c r="A31" i="1"/>
  <c r="G22" i="1"/>
  <c r="I22" i="1"/>
  <c r="H22" i="1" s="1"/>
  <c r="J22" i="1"/>
  <c r="K22" i="1" s="1"/>
  <c r="G23" i="1"/>
  <c r="I23" i="1"/>
  <c r="J23" i="1" s="1"/>
  <c r="K23" i="1" s="1"/>
  <c r="G24" i="1"/>
  <c r="I24" i="1"/>
  <c r="J24" i="1" s="1"/>
  <c r="K24" i="1" s="1"/>
  <c r="G25" i="1"/>
  <c r="I25" i="1"/>
  <c r="H25" i="1" s="1"/>
  <c r="G26" i="1"/>
  <c r="I26" i="1"/>
  <c r="H26" i="1" s="1"/>
  <c r="A22" i="1"/>
  <c r="J31" i="1" l="1"/>
  <c r="H24" i="1"/>
  <c r="J26" i="1"/>
  <c r="K26" i="1" s="1"/>
  <c r="J25" i="1"/>
  <c r="K25" i="1" s="1"/>
  <c r="H23" i="1"/>
  <c r="G20" i="1" l="1"/>
  <c r="I20" i="1"/>
  <c r="J20" i="1" s="1"/>
  <c r="K20" i="1" s="1"/>
  <c r="G16" i="1"/>
  <c r="I16" i="1"/>
  <c r="H16" i="1" s="1"/>
  <c r="A20" i="1"/>
  <c r="J16" i="1" l="1"/>
  <c r="K16" i="1" s="1"/>
  <c r="H20" i="1"/>
  <c r="C7" i="1"/>
  <c r="I21" i="1"/>
  <c r="J21" i="1" s="1"/>
  <c r="K21" i="1" s="1"/>
  <c r="G21" i="1"/>
  <c r="I19" i="1"/>
  <c r="J19" i="1" s="1"/>
  <c r="K19" i="1" s="1"/>
  <c r="G19" i="1"/>
  <c r="I18" i="1"/>
  <c r="J18" i="1" s="1"/>
  <c r="K18" i="1" s="1"/>
  <c r="H18" i="1"/>
  <c r="G18" i="1"/>
  <c r="I17" i="1"/>
  <c r="J17" i="1" s="1"/>
  <c r="K17" i="1" s="1"/>
  <c r="G17" i="1"/>
  <c r="H19" i="1" l="1"/>
  <c r="H17" i="1"/>
  <c r="H21" i="1"/>
  <c r="L18" i="1"/>
  <c r="B33" i="1" l="1"/>
  <c r="G27" i="1" l="1"/>
  <c r="I27" i="1"/>
  <c r="J27" i="1" s="1"/>
  <c r="K27" i="1" s="1"/>
  <c r="G28" i="1"/>
  <c r="I28" i="1"/>
  <c r="G29" i="1"/>
  <c r="I29" i="1"/>
  <c r="J29" i="1" s="1"/>
  <c r="K29" i="1" s="1"/>
  <c r="G30" i="1"/>
  <c r="I30" i="1"/>
  <c r="J30" i="1" s="1"/>
  <c r="K30" i="1" s="1"/>
  <c r="J28" i="1" l="1"/>
  <c r="K28" i="1" s="1"/>
  <c r="L28" i="1"/>
  <c r="H28" i="1"/>
  <c r="H30" i="1"/>
  <c r="H29" i="1"/>
  <c r="H27" i="1"/>
  <c r="K32" i="1"/>
  <c r="C5" i="1"/>
  <c r="A16" i="1" s="1"/>
  <c r="E8" i="1"/>
  <c r="C6" i="1"/>
  <c r="H33" i="1" l="1"/>
  <c r="A25" i="1"/>
  <c r="A21" i="1"/>
  <c r="A26" i="1"/>
  <c r="A29" i="1"/>
  <c r="A23" i="1"/>
  <c r="A27" i="1"/>
  <c r="A30" i="1"/>
  <c r="A18" i="1"/>
  <c r="A24" i="1"/>
  <c r="A32" i="1"/>
  <c r="A19" i="1"/>
  <c r="A28" i="1"/>
  <c r="A17" i="1"/>
  <c r="E12" i="1" l="1"/>
  <c r="J55" i="1" l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G49" i="1"/>
  <c r="J48" i="1"/>
  <c r="I48" i="1"/>
  <c r="G48" i="1"/>
  <c r="J47" i="1"/>
  <c r="I47" i="1"/>
  <c r="J46" i="1"/>
  <c r="I46" i="1"/>
  <c r="J45" i="1"/>
  <c r="I45" i="1"/>
  <c r="J44" i="1"/>
  <c r="I44" i="1"/>
  <c r="J40" i="1"/>
  <c r="I40" i="1"/>
  <c r="J38" i="1"/>
  <c r="I38" i="1"/>
  <c r="J36" i="1"/>
  <c r="I36" i="1"/>
  <c r="J34" i="1"/>
  <c r="I34" i="1"/>
  <c r="J33" i="1"/>
  <c r="I33" i="1"/>
  <c r="H34" i="1" l="1"/>
  <c r="E5" i="1" s="1"/>
  <c r="G50" i="1" l="1"/>
  <c r="G51" i="1"/>
  <c r="G52" i="1"/>
  <c r="G53" i="1"/>
  <c r="G54" i="1"/>
  <c r="G55" i="1"/>
  <c r="G56" i="1"/>
  <c r="G57" i="1"/>
  <c r="G58" i="1"/>
  <c r="G59" i="1"/>
</calcChain>
</file>

<file path=xl/sharedStrings.xml><?xml version="1.0" encoding="utf-8"?>
<sst xmlns="http://schemas.openxmlformats.org/spreadsheetml/2006/main" count="135" uniqueCount="114">
  <si>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</si>
  <si>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</si>
  <si>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</si>
  <si>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</si>
  <si>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</si>
  <si>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</si>
  <si>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</si>
  <si>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</si>
  <si>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</si>
  <si>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</si>
  <si>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</si>
  <si>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</si>
  <si>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</si>
  <si>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</si>
  <si>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</si>
  <si>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</si>
  <si>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</si>
  <si>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</si>
  <si>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</si>
  <si>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</si>
  <si>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</si>
  <si>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</si>
  <si>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</si>
  <si>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</si>
  <si>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</si>
  <si>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</si>
  <si>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</si>
  <si>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</si>
  <si>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</si>
  <si>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</si>
  <si>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</si>
  <si>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</si>
  <si>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</si>
  <si>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</si>
  <si>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</si>
  <si>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</si>
  <si>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</si>
  <si>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</si>
  <si>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</si>
  <si>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</si>
  <si>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</si>
  <si>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</si>
  <si>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</si>
  <si>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</si>
  <si>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</si>
  <si>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</si>
  <si>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</si>
  <si>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</si>
  <si>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</si>
  <si>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</si>
  <si>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</si>
  <si>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</si>
  <si>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</si>
  <si>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</si>
  <si>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</si>
  <si>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</si>
  <si>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</si>
  <si>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</si>
  <si>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kg</t>
  </si>
  <si>
    <t xml:space="preserve">Anchovies </t>
  </si>
  <si>
    <t>marinated</t>
  </si>
  <si>
    <t>butter</t>
  </si>
  <si>
    <t>20-100001600</t>
  </si>
  <si>
    <t>lt</t>
  </si>
  <si>
    <t xml:space="preserve">Olive Oil </t>
  </si>
  <si>
    <t>20-100001607</t>
  </si>
  <si>
    <t>Sea Salt</t>
  </si>
  <si>
    <t>20-100001323</t>
  </si>
  <si>
    <t>Pepper</t>
  </si>
  <si>
    <t>20-100001295</t>
  </si>
  <si>
    <t>(From Bakery)</t>
  </si>
  <si>
    <t>2.24.17</t>
  </si>
  <si>
    <t>DR</t>
  </si>
  <si>
    <t>3.6.17</t>
  </si>
  <si>
    <t>1. Toast bread slices in preheated oven at 375 (F) after brushing them with olive oil and sprinkling with sea salt.</t>
  </si>
  <si>
    <t>Alici</t>
  </si>
  <si>
    <t>Sabatini</t>
  </si>
  <si>
    <t>20-100001418</t>
  </si>
  <si>
    <t>Kg</t>
  </si>
  <si>
    <t>Yellow Squash</t>
  </si>
  <si>
    <t>20-100000851</t>
  </si>
  <si>
    <t>20-100000858</t>
  </si>
  <si>
    <t>Basil</t>
  </si>
  <si>
    <t>Parsley</t>
  </si>
  <si>
    <t>Smoked Scamorza</t>
  </si>
  <si>
    <t>20-100000876</t>
  </si>
  <si>
    <t>20-100000839</t>
  </si>
  <si>
    <t>20-100023767</t>
  </si>
  <si>
    <t>Ea</t>
  </si>
  <si>
    <t>Crusty Tuscan Bread (1 slice)</t>
  </si>
  <si>
    <t>5. Before serving, drizzle the crostino with olive oil.</t>
  </si>
  <si>
    <t>Milk</t>
  </si>
  <si>
    <t>Flour</t>
  </si>
  <si>
    <t>Black Olives</t>
  </si>
  <si>
    <t>Chives</t>
  </si>
  <si>
    <t>cheese is melted.  Place on serving plate and pair with fried vegetables.</t>
  </si>
  <si>
    <t>4. Spread the bread with pomata butter and sprinkle fresh chopped chives, top with sliced smoked scamorza. Add anchovies and chopped black olives as in picture. Broil until the</t>
  </si>
  <si>
    <t>for drying</t>
  </si>
  <si>
    <t>for frying</t>
  </si>
  <si>
    <t>20-100001293</t>
  </si>
  <si>
    <t>20-100000577</t>
  </si>
  <si>
    <t>20-100000471</t>
  </si>
  <si>
    <t>20-100000475</t>
  </si>
  <si>
    <t>20-100001232</t>
  </si>
  <si>
    <t>20-100000882</t>
  </si>
  <si>
    <t>Lt</t>
  </si>
  <si>
    <t>3.9.17</t>
  </si>
  <si>
    <t>Antipasti</t>
  </si>
  <si>
    <t>Zucchini</t>
  </si>
  <si>
    <t>Dried Oregano</t>
  </si>
  <si>
    <t>Semolina Flour</t>
  </si>
  <si>
    <t>2. Drain anchovies from oil and chop thinly add butter and place in a sauté pan to combine (Pomata).</t>
  </si>
  <si>
    <t>3. Deep fry zucchini, yellow squash, basil, and parsley with flour, milk, and semolina flour, flavored with dried oregano.</t>
  </si>
  <si>
    <t xml:space="preserve">Toasted house made bread crostini, Smoked scamorza cheese, zucchini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</si>
</sst>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0" fillId="35" borderId="0" xfId="0" applyFont="1" applyFill="1"/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ont="1" applyFill="1" applyAlignment="1">
      <alignment horizontal="left"/>
    </xf>
    <xf numFmtId="44" fontId="0" fillId="0" borderId="0" xfId="1" applyFont="1" applyFill="1"/>
    <xf numFmtId="0" fontId="0" fillId="0" borderId="0" xfId="0" applyFont="1" applyFill="1" applyAlignment="1">
      <alignment horizontal="center"/>
    </xf>
    <xf numFmtId="44" fontId="0" fillId="0" borderId="0" xfId="0" applyNumberFormat="1" applyFont="1" applyFill="1"/>
    <xf numFmtId="0" fontId="0" fillId="0" borderId="0" xfId="0" applyFill="1"/>
    <xf numFmtId="0" fontId="1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568781</xdr:colOff>
      <xdr:row>1</xdr:row>
      <xdr:rowOff>29829</xdr:rowOff>
    </xdr:from>
    <xdr:to>
      <xdr:col>8</xdr:col>
      <xdr:colOff>383720</xdr:colOff>
      <xdr:row>12</xdr:row>
      <xdr:rowOff>85725</xdr:rowOff>
    </xdr:to>
    <xdr:pic>
      <xdr:nvPicPr>
        <xdr:cNvPr id="3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681" y="239379"/>
          <a:ext cx="3558264" cy="2608596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6">
          <cell r="B2646">
            <v>0</v>
          </cell>
          <cell r="C2646">
            <v>0</v>
          </cell>
        </row>
        <row r="2647">
          <cell r="B2647">
            <v>0</v>
          </cell>
          <cell r="C2647">
            <v>0</v>
          </cell>
        </row>
        <row r="2648">
          <cell r="B2648">
            <v>0</v>
          </cell>
          <cell r="C2648">
            <v>0</v>
          </cell>
        </row>
        <row r="2649">
          <cell r="B2649">
            <v>0</v>
          </cell>
          <cell r="C264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110" zoomScaleNormal="110" workbookViewId="0">
      <selection activeCell="B2" sqref="B2:E2"/>
    </sheetView>
  </sheetViews>
  <sheetFormatPr defaultRowHeight="15" x14ac:dyDescent="0.25"/>
  <cols>
    <col min="1" max="1" width="10.5703125" style="98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3" s="3" customFormat="1" ht="16.5" customHeight="1" x14ac:dyDescent="0.25">
      <c r="A1" s="100" t="s">
        <v>14</v>
      </c>
      <c r="B1" s="8" t="s">
        <v>75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3" s="3" customFormat="1" ht="16.5" customHeight="1" x14ac:dyDescent="0.25">
      <c r="A2" s="100"/>
      <c r="B2" s="121" t="s">
        <v>113</v>
      </c>
      <c r="C2" s="122"/>
      <c r="D2" s="122"/>
      <c r="E2" s="122"/>
      <c r="F2" s="11"/>
      <c r="G2" s="52"/>
      <c r="H2" s="53"/>
      <c r="I2" s="53"/>
      <c r="J2" s="54"/>
      <c r="K2" s="9"/>
      <c r="L2" s="61"/>
    </row>
    <row r="3" spans="1:13" s="2" customFormat="1" ht="16.5" customHeight="1" x14ac:dyDescent="0.25">
      <c r="A3" s="101" t="s">
        <v>54</v>
      </c>
      <c r="B3" s="97" t="s">
        <v>48</v>
      </c>
      <c r="C3" s="90" t="s">
        <v>76</v>
      </c>
      <c r="D3" s="12" t="s">
        <v>107</v>
      </c>
      <c r="E3" s="12"/>
      <c r="F3" s="13"/>
      <c r="G3" s="55"/>
      <c r="H3" s="56"/>
      <c r="I3" s="56"/>
      <c r="J3" s="57"/>
      <c r="K3" s="58"/>
    </row>
    <row r="4" spans="1:13" s="4" customFormat="1" ht="20.25" customHeight="1" x14ac:dyDescent="0.2">
      <c r="A4" s="102" t="s">
        <v>53</v>
      </c>
      <c r="B4" s="97" t="s">
        <v>49</v>
      </c>
      <c r="C4" s="89">
        <v>4.101</v>
      </c>
      <c r="D4" s="83" t="s">
        <v>50</v>
      </c>
      <c r="E4" s="78" t="s">
        <v>40</v>
      </c>
      <c r="F4" s="14"/>
      <c r="G4" s="59"/>
      <c r="H4" s="60"/>
      <c r="I4" s="60"/>
      <c r="J4" s="54"/>
      <c r="K4" s="61"/>
    </row>
    <row r="5" spans="1:13" s="4" customFormat="1" ht="20.25" customHeight="1" thickBot="1" x14ac:dyDescent="0.3">
      <c r="A5" s="103">
        <v>50</v>
      </c>
      <c r="B5" s="78"/>
      <c r="C5" s="88">
        <f>SUM(C4/C7)</f>
        <v>1</v>
      </c>
      <c r="D5" s="80" t="s">
        <v>44</v>
      </c>
      <c r="E5" s="77">
        <f>SUM(H34)</f>
        <v>0.87159799125319504</v>
      </c>
      <c r="F5" s="14"/>
      <c r="G5" s="59"/>
      <c r="H5" s="60"/>
      <c r="I5" s="60"/>
      <c r="J5" s="54"/>
      <c r="K5" s="61"/>
    </row>
    <row r="6" spans="1:13" ht="20.25" customHeight="1" thickTop="1" x14ac:dyDescent="0.25">
      <c r="A6" s="104" t="s">
        <v>14</v>
      </c>
      <c r="B6" s="78"/>
      <c r="C6" s="1" t="str">
        <f>IF(ISBLANK(C8),"-",(C4/C8))</f>
        <v>-</v>
      </c>
      <c r="D6" s="87" t="s">
        <v>45</v>
      </c>
      <c r="E6" s="16"/>
      <c r="F6" s="17"/>
      <c r="G6" s="62"/>
      <c r="H6" s="63"/>
      <c r="I6" s="63"/>
      <c r="J6" s="64"/>
      <c r="K6" s="65"/>
    </row>
    <row r="7" spans="1:13" ht="28.5" thickBot="1" x14ac:dyDescent="0.3">
      <c r="A7" s="104"/>
      <c r="B7" s="84" t="s">
        <v>46</v>
      </c>
      <c r="C7" s="85">
        <f>C4/1</f>
        <v>4.101</v>
      </c>
      <c r="D7" s="83" t="s">
        <v>51</v>
      </c>
      <c r="E7" s="78" t="s">
        <v>41</v>
      </c>
      <c r="F7" s="17"/>
      <c r="G7" s="62"/>
      <c r="H7" s="63"/>
      <c r="I7" s="63"/>
      <c r="J7" s="64"/>
      <c r="K7" s="65"/>
    </row>
    <row r="8" spans="1:13" ht="29.25" thickTop="1" thickBot="1" x14ac:dyDescent="0.3">
      <c r="A8" s="105"/>
      <c r="B8" s="86" t="s">
        <v>47</v>
      </c>
      <c r="C8" s="91"/>
      <c r="D8" s="83" t="s">
        <v>52</v>
      </c>
      <c r="E8" s="77" t="str">
        <f>IF(ISBLANK(C8),"-",(H33/C6))</f>
        <v>-</v>
      </c>
      <c r="F8" s="17"/>
      <c r="G8" s="62"/>
      <c r="H8" s="63"/>
      <c r="I8" s="63"/>
      <c r="J8" s="64"/>
      <c r="K8" s="65"/>
    </row>
    <row r="9" spans="1:13" ht="3.75" customHeight="1" thickTop="1" x14ac:dyDescent="0.25">
      <c r="A9" s="105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3" x14ac:dyDescent="0.25">
      <c r="A10" s="106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3" x14ac:dyDescent="0.25">
      <c r="A11" s="106"/>
      <c r="B11" s="20" t="s">
        <v>12</v>
      </c>
      <c r="C11" s="38"/>
      <c r="D11" s="21"/>
      <c r="E11" s="82" t="s">
        <v>42</v>
      </c>
      <c r="F11" s="17"/>
      <c r="G11" s="62"/>
      <c r="H11" s="63"/>
      <c r="I11" s="63"/>
      <c r="J11" s="64"/>
      <c r="K11" s="65"/>
    </row>
    <row r="12" spans="1:13" ht="15.75" thickBot="1" x14ac:dyDescent="0.3">
      <c r="A12" s="106"/>
      <c r="B12" s="20" t="s">
        <v>13</v>
      </c>
      <c r="C12" s="39" t="s">
        <v>71</v>
      </c>
      <c r="D12" s="21" t="s">
        <v>72</v>
      </c>
      <c r="E12" s="81">
        <f>SUM(C4/B33)</f>
        <v>3.6292035398230129</v>
      </c>
      <c r="F12" s="17"/>
      <c r="G12" s="62"/>
      <c r="H12" s="63"/>
      <c r="I12" s="63"/>
      <c r="J12" s="64"/>
      <c r="K12" s="65"/>
    </row>
    <row r="13" spans="1:13" ht="15" customHeight="1" thickTop="1" x14ac:dyDescent="0.25">
      <c r="A13" s="106"/>
      <c r="B13" s="20"/>
      <c r="C13" s="40" t="s">
        <v>73</v>
      </c>
      <c r="D13" s="21" t="s">
        <v>57</v>
      </c>
      <c r="E13" s="19"/>
      <c r="F13" s="17"/>
      <c r="G13" s="62"/>
      <c r="H13" s="63"/>
      <c r="I13" s="63"/>
      <c r="J13" s="64"/>
      <c r="K13" s="65"/>
    </row>
    <row r="14" spans="1:13" ht="15" customHeight="1" x14ac:dyDescent="0.25">
      <c r="A14" s="106"/>
      <c r="B14" s="20"/>
      <c r="C14" s="40" t="s">
        <v>106</v>
      </c>
      <c r="D14" s="21" t="s">
        <v>57</v>
      </c>
      <c r="E14" s="19"/>
      <c r="F14" s="17"/>
      <c r="G14" s="62"/>
      <c r="H14" s="63"/>
      <c r="I14" s="63"/>
      <c r="J14" s="64"/>
      <c r="K14" s="65"/>
    </row>
    <row r="15" spans="1:13" ht="12.75" customHeight="1" x14ac:dyDescent="0.25">
      <c r="A15" s="105"/>
      <c r="B15" s="28" t="s">
        <v>0</v>
      </c>
      <c r="C15" s="28" t="s">
        <v>4</v>
      </c>
      <c r="D15" s="29" t="s">
        <v>1</v>
      </c>
      <c r="E15" s="30" t="s">
        <v>2</v>
      </c>
      <c r="F15" s="28" t="s">
        <v>7</v>
      </c>
      <c r="G15" s="66" t="s">
        <v>8</v>
      </c>
      <c r="H15" s="67" t="s">
        <v>6</v>
      </c>
      <c r="I15" s="67" t="s">
        <v>5</v>
      </c>
      <c r="J15" s="68" t="s">
        <v>4</v>
      </c>
      <c r="K15" s="69" t="s">
        <v>56</v>
      </c>
    </row>
    <row r="16" spans="1:13" ht="12.75" customHeight="1" x14ac:dyDescent="0.25">
      <c r="A16" s="105">
        <f>IF(ISBLANK(B16),0,(SUM($A$5/$C$5)*B16))</f>
        <v>0.6</v>
      </c>
      <c r="B16" s="109">
        <v>1.2E-2</v>
      </c>
      <c r="C16" s="22" t="s">
        <v>58</v>
      </c>
      <c r="D16" s="110" t="s">
        <v>59</v>
      </c>
      <c r="E16" s="23" t="s">
        <v>60</v>
      </c>
      <c r="F16" s="93" t="s">
        <v>77</v>
      </c>
      <c r="G16" s="95" t="str">
        <f>IF(F16="","",(VLOOKUP($F16,[1]SKU!$A$4:$D$3000,2,FALSE)))</f>
        <v>Anchovy Fillet</v>
      </c>
      <c r="H16" s="5">
        <f t="shared" ref="H16" si="0">IF(F16="","",(B16*I16))</f>
        <v>9.9727037723331732E-2</v>
      </c>
      <c r="I16" s="5">
        <f>IF(F16="","",(VLOOKUP(F16,[1]SKU!$A$4:$D$3000,4,FALSE)))</f>
        <v>8.3105864769443105</v>
      </c>
      <c r="J16" s="107" t="str">
        <f>IF(I16="","",(VLOOKUP($F16,[1]SKU!$A$4:$D$3000,3,FALSE)))</f>
        <v>KG</v>
      </c>
      <c r="K16" s="108" t="str">
        <f t="shared" ref="K16" si="1">IF(J16="","",IF(J16=$C16,"","DIFFERENT"))</f>
        <v/>
      </c>
      <c r="L16" s="94"/>
      <c r="M16" s="94"/>
    </row>
    <row r="17" spans="1:13" ht="12.75" customHeight="1" x14ac:dyDescent="0.25">
      <c r="A17" s="105">
        <f>IF(ISBLANK(B17),0,(SUM($A$5/$C$5)*B17))</f>
        <v>1</v>
      </c>
      <c r="B17" s="109">
        <v>0.02</v>
      </c>
      <c r="C17" s="22" t="s">
        <v>58</v>
      </c>
      <c r="D17" s="24" t="s">
        <v>61</v>
      </c>
      <c r="E17" s="16"/>
      <c r="F17" s="93" t="s">
        <v>62</v>
      </c>
      <c r="G17" s="95" t="str">
        <f>IF(F17="","",(VLOOKUP($F17,[1]SKU!$A$4:$D$3000,2,FALSE)))</f>
        <v>Butter Unsalted Aa 1 Lb (454 Gm)</v>
      </c>
      <c r="H17" s="5">
        <f t="shared" ref="H17:H21" si="2">IF(F17="","",(B17*I17))</f>
        <v>7.5523242567097304E-2</v>
      </c>
      <c r="I17" s="5">
        <f>IF(F17="","",(VLOOKUP(F17,[1]SKU!$A$4:$D$3000,4,FALSE)))</f>
        <v>3.7761621283548652</v>
      </c>
      <c r="J17" s="107" t="str">
        <f>IF(I17="","",(VLOOKUP($F17,[1]SKU!$A$4:$D$3000,3,FALSE)))</f>
        <v>KG</v>
      </c>
      <c r="K17" s="108" t="str">
        <f t="shared" ref="K17:K21" si="3">IF(J17="","",IF(J17=$C17,"","DIFFERENT"))</f>
        <v/>
      </c>
    </row>
    <row r="18" spans="1:13" ht="12.75" customHeight="1" x14ac:dyDescent="0.25">
      <c r="A18" s="105">
        <f t="shared" ref="A18:A32" si="4">IF(ISBLANK(B18),0,(SUM($A$5/$C$5)*B18))</f>
        <v>50</v>
      </c>
      <c r="B18" s="109">
        <v>1</v>
      </c>
      <c r="C18" s="22" t="s">
        <v>88</v>
      </c>
      <c r="D18" s="15" t="s">
        <v>89</v>
      </c>
      <c r="E18" s="16" t="s">
        <v>70</v>
      </c>
      <c r="F18" s="111"/>
      <c r="G18" s="95" t="str">
        <f>IF(F18="","",(VLOOKUP($F18,[1]SKU!$A$4:$D$3000,2,FALSE)))</f>
        <v/>
      </c>
      <c r="H18" s="5" t="str">
        <f t="shared" si="2"/>
        <v/>
      </c>
      <c r="I18" s="5" t="str">
        <f>IF(F18="","",(VLOOKUP(F18,[1]SKU!$A$4:$D$3000,4,FALSE)))</f>
        <v/>
      </c>
      <c r="J18" s="107" t="str">
        <f>IF(I18="","",(VLOOKUP($F18,[1]SKU!$A$4:$D$3000,3,FALSE)))</f>
        <v/>
      </c>
      <c r="K18" s="108" t="str">
        <f t="shared" si="3"/>
        <v/>
      </c>
      <c r="L18" s="94" t="e">
        <f>I18/32*B18</f>
        <v>#VALUE!</v>
      </c>
    </row>
    <row r="19" spans="1:13" ht="12.75" customHeight="1" x14ac:dyDescent="0.25">
      <c r="A19" s="105">
        <f t="shared" si="4"/>
        <v>0.75</v>
      </c>
      <c r="B19" s="112">
        <v>1.4999999999999999E-2</v>
      </c>
      <c r="C19" s="113" t="s">
        <v>78</v>
      </c>
      <c r="D19" s="114" t="s">
        <v>108</v>
      </c>
      <c r="E19" s="115"/>
      <c r="F19" s="93" t="s">
        <v>80</v>
      </c>
      <c r="G19" s="116" t="str">
        <f>IF(F19="","",(VLOOKUP($F19,[1]SKU!$A$4:$D$3000,2,FALSE)))</f>
        <v>Squash Zucchini Green No.1, 6 Inch / 15.25 CM Courgette</v>
      </c>
      <c r="H19" s="117">
        <f t="shared" si="2"/>
        <v>1.6924540842338655E-2</v>
      </c>
      <c r="I19" s="117">
        <f>IF(F19="","",(VLOOKUP(F19,[1]SKU!$A$4:$D$3000,4,FALSE)))</f>
        <v>1.128302722822577</v>
      </c>
      <c r="J19" s="118" t="str">
        <f>IF(I19="","",(VLOOKUP($F19,[1]SKU!$A$4:$D$3000,3,FALSE)))</f>
        <v>KG</v>
      </c>
      <c r="K19" s="119" t="str">
        <f t="shared" si="3"/>
        <v/>
      </c>
      <c r="L19" s="120"/>
      <c r="M19" s="120"/>
    </row>
    <row r="20" spans="1:13" ht="12.75" customHeight="1" x14ac:dyDescent="0.25">
      <c r="A20" s="105">
        <f t="shared" si="4"/>
        <v>0.75</v>
      </c>
      <c r="B20" s="112">
        <v>1.4999999999999999E-2</v>
      </c>
      <c r="C20" s="113" t="s">
        <v>78</v>
      </c>
      <c r="D20" s="114" t="s">
        <v>79</v>
      </c>
      <c r="E20" s="115"/>
      <c r="F20" s="93" t="s">
        <v>81</v>
      </c>
      <c r="G20" s="116" t="str">
        <f>IF(F20="","",(VLOOKUP($F20,[1]SKU!$A$4:$D$3000,2,FALSE)))</f>
        <v>Squash Zucchini Yellow No.1, 6 Inch / 15.25 CM Courgette</v>
      </c>
      <c r="H20" s="117">
        <f t="shared" ref="H20" si="5">IF(F20="","",(B20*I20))</f>
        <v>2.2862713789389422E-2</v>
      </c>
      <c r="I20" s="117">
        <f>IF(F20="","",(VLOOKUP(F20,[1]SKU!$A$4:$D$3000,4,FALSE)))</f>
        <v>1.5241809192926281</v>
      </c>
      <c r="J20" s="118" t="str">
        <f>IF(I20="","",(VLOOKUP($F20,[1]SKU!$A$4:$D$3000,3,FALSE)))</f>
        <v>KG</v>
      </c>
      <c r="K20" s="119" t="str">
        <f t="shared" ref="K20" si="6">IF(J20="","",IF(J20=$C20,"","DIFFERENT"))</f>
        <v/>
      </c>
      <c r="L20" s="120"/>
      <c r="M20" s="120"/>
    </row>
    <row r="21" spans="1:13" ht="12.75" customHeight="1" x14ac:dyDescent="0.25">
      <c r="A21" s="105">
        <f t="shared" si="4"/>
        <v>0.25</v>
      </c>
      <c r="B21" s="109">
        <v>5.0000000000000001E-3</v>
      </c>
      <c r="C21" s="22" t="s">
        <v>58</v>
      </c>
      <c r="D21" s="32" t="s">
        <v>82</v>
      </c>
      <c r="E21" s="23"/>
      <c r="F21" s="93" t="s">
        <v>85</v>
      </c>
      <c r="G21" s="95" t="str">
        <f>IF(F21="","",(VLOOKUP($F21,[1]SKU!$A$4:$D$3000,2,FALSE)))</f>
        <v>Herb, Basil, Bulk, Fresh</v>
      </c>
      <c r="H21" s="5">
        <f t="shared" si="2"/>
        <v>4.349579523955744E-2</v>
      </c>
      <c r="I21" s="5">
        <f>IF(F21="","",(VLOOKUP(F21,[1]SKU!$A$4:$D$3000,4,FALSE)))</f>
        <v>8.699159047911488</v>
      </c>
      <c r="J21" s="107" t="str">
        <f>IF(I21="","",(VLOOKUP($F21,[1]SKU!$A$4:$D$3000,3,FALSE)))</f>
        <v>KG</v>
      </c>
      <c r="K21" s="108" t="str">
        <f t="shared" si="3"/>
        <v/>
      </c>
    </row>
    <row r="22" spans="1:13" ht="12.75" customHeight="1" x14ac:dyDescent="0.25">
      <c r="A22" s="105">
        <f t="shared" si="4"/>
        <v>0.25</v>
      </c>
      <c r="B22" s="109">
        <v>5.0000000000000001E-3</v>
      </c>
      <c r="C22" s="22" t="s">
        <v>78</v>
      </c>
      <c r="D22" s="32" t="s">
        <v>83</v>
      </c>
      <c r="E22" s="23"/>
      <c r="F22" s="93" t="s">
        <v>86</v>
      </c>
      <c r="G22" s="95" t="str">
        <f>IF(F22="","",(VLOOKUP($F22,[1]SKU!$A$4:$D$3000,2,FALSE)))</f>
        <v>Herb, Parsley, Curly, Bulk, Fresh</v>
      </c>
      <c r="H22" s="5">
        <f t="shared" ref="H22:H26" si="7">IF(F22="","",(B22*I22))</f>
        <v>1.713095861313127E-2</v>
      </c>
      <c r="I22" s="5">
        <f>IF(F22="","",(VLOOKUP(F22,[1]SKU!$A$4:$D$3000,4,FALSE)))</f>
        <v>3.4261917226262537</v>
      </c>
      <c r="J22" s="107" t="str">
        <f>IF(I22="","",(VLOOKUP($F22,[1]SKU!$A$4:$D$3000,3,FALSE)))</f>
        <v>KG</v>
      </c>
      <c r="K22" s="108" t="str">
        <f t="shared" ref="K22:K26" si="8">IF(J22="","",IF(J22=$C22,"","DIFFERENT"))</f>
        <v/>
      </c>
    </row>
    <row r="23" spans="1:13" ht="12.75" customHeight="1" x14ac:dyDescent="0.25">
      <c r="A23" s="105">
        <f t="shared" si="4"/>
        <v>1.7500000000000002</v>
      </c>
      <c r="B23" s="109">
        <v>3.5000000000000003E-2</v>
      </c>
      <c r="C23" s="22" t="s">
        <v>58</v>
      </c>
      <c r="D23" s="32" t="s">
        <v>84</v>
      </c>
      <c r="E23" s="23"/>
      <c r="F23" s="93" t="s">
        <v>87</v>
      </c>
      <c r="G23" s="95" t="str">
        <f>IF(F23="","",(VLOOKUP($F23,[1]SKU!$A$4:$D$3000,2,FALSE)))</f>
        <v>Cheese, Scarmorza, Smoked - For Gastropub Use Only</v>
      </c>
      <c r="H23" s="5">
        <f t="shared" si="7"/>
        <v>0.46658163265306124</v>
      </c>
      <c r="I23" s="5">
        <f>IF(F23="","",(VLOOKUP(F23,[1]SKU!$A$4:$D$3000,4,FALSE)))</f>
        <v>13.330903790087463</v>
      </c>
      <c r="J23" s="107" t="str">
        <f>IF(I23="","",(VLOOKUP($F23,[1]SKU!$A$4:$D$3000,3,FALSE)))</f>
        <v>KG</v>
      </c>
      <c r="K23" s="108" t="str">
        <f t="shared" si="8"/>
        <v/>
      </c>
    </row>
    <row r="24" spans="1:13" ht="12.75" customHeight="1" x14ac:dyDescent="0.25">
      <c r="A24" s="105">
        <f t="shared" si="4"/>
        <v>0.5</v>
      </c>
      <c r="B24" s="109">
        <v>0.01</v>
      </c>
      <c r="C24" s="22" t="s">
        <v>63</v>
      </c>
      <c r="D24" s="32" t="s">
        <v>64</v>
      </c>
      <c r="E24" s="23"/>
      <c r="F24" s="93" t="s">
        <v>65</v>
      </c>
      <c r="G24" s="95" t="str">
        <f>IF(F24="","",(VLOOKUP($F24,[1]SKU!$A$4:$D$3000,2,FALSE)))</f>
        <v>Oil Olive Extra Virgin</v>
      </c>
      <c r="H24" s="5">
        <f t="shared" si="7"/>
        <v>4.2862703360735839E-2</v>
      </c>
      <c r="I24" s="5">
        <f>IF(F24="","",(VLOOKUP(F24,[1]SKU!$A$4:$D$3000,4,FALSE)))</f>
        <v>4.2862703360735841</v>
      </c>
      <c r="J24" s="107" t="str">
        <f>IF(I24="","",(VLOOKUP($F24,[1]SKU!$A$4:$D$3000,3,FALSE)))</f>
        <v>LT</v>
      </c>
      <c r="K24" s="108" t="str">
        <f t="shared" si="8"/>
        <v/>
      </c>
    </row>
    <row r="25" spans="1:13" x14ac:dyDescent="0.25">
      <c r="A25" s="105">
        <f t="shared" si="4"/>
        <v>0.05</v>
      </c>
      <c r="B25" s="109">
        <v>1E-3</v>
      </c>
      <c r="C25" s="22" t="s">
        <v>58</v>
      </c>
      <c r="D25" s="32" t="s">
        <v>66</v>
      </c>
      <c r="E25" s="23"/>
      <c r="F25" s="93" t="s">
        <v>67</v>
      </c>
      <c r="G25" s="95" t="str">
        <f>IF(F25="","",(VLOOKUP($F25,[1]SKU!$A$4:$D$3000,2,FALSE)))</f>
        <v>Coarse Sea Salt</v>
      </c>
      <c r="H25" s="5">
        <f t="shared" si="7"/>
        <v>1.5171018212329103E-3</v>
      </c>
      <c r="I25" s="5">
        <f>IF(F25="","",(VLOOKUP(F25,[1]SKU!$A$4:$D$3000,4,FALSE)))</f>
        <v>1.5171018212329104</v>
      </c>
      <c r="J25" s="107" t="str">
        <f>IF(I25="","",(VLOOKUP($F25,[1]SKU!$A$4:$D$3000,3,FALSE)))</f>
        <v>KG</v>
      </c>
      <c r="K25" s="108" t="str">
        <f t="shared" si="8"/>
        <v/>
      </c>
    </row>
    <row r="26" spans="1:13" x14ac:dyDescent="0.25">
      <c r="A26" s="105">
        <f t="shared" si="4"/>
        <v>0.05</v>
      </c>
      <c r="B26" s="109">
        <v>1E-3</v>
      </c>
      <c r="C26" s="22" t="s">
        <v>58</v>
      </c>
      <c r="D26" s="110" t="s">
        <v>68</v>
      </c>
      <c r="E26" s="23"/>
      <c r="F26" s="70" t="s">
        <v>69</v>
      </c>
      <c r="G26" s="95" t="str">
        <f>IF(F26="","",(VLOOKUP($F26,[1]SKU!$A$4:$D$3000,2,FALSE)))</f>
        <v>Pepper Black Ground</v>
      </c>
      <c r="H26" s="5">
        <f t="shared" si="7"/>
        <v>1.8543221549417611E-2</v>
      </c>
      <c r="I26" s="5">
        <f>IF(F26="","",(VLOOKUP(F26,[1]SKU!$A$4:$D$3000,4,FALSE)))</f>
        <v>18.543221549417609</v>
      </c>
      <c r="J26" s="107" t="str">
        <f>IF(I26="","",(VLOOKUP($F26,[1]SKU!$A$4:$D$3000,3,FALSE)))</f>
        <v>KG</v>
      </c>
      <c r="K26" s="108" t="str">
        <f t="shared" si="8"/>
        <v/>
      </c>
    </row>
    <row r="27" spans="1:13" x14ac:dyDescent="0.25">
      <c r="A27" s="105">
        <f t="shared" si="4"/>
        <v>0.05</v>
      </c>
      <c r="B27" s="109">
        <v>1E-3</v>
      </c>
      <c r="C27" s="22" t="s">
        <v>58</v>
      </c>
      <c r="D27" s="32" t="s">
        <v>109</v>
      </c>
      <c r="E27" s="16" t="s">
        <v>98</v>
      </c>
      <c r="F27" s="93" t="s">
        <v>99</v>
      </c>
      <c r="G27" s="95" t="str">
        <f>IF(F27="","",(VLOOKUP($F27,[1]SKU!$A$4:$D$3000,2,FALSE)))</f>
        <v>Oregano Whole Dry</v>
      </c>
      <c r="H27" s="5">
        <f t="shared" ref="H27:H30" si="9">IF(F27="","",(B27*I27))</f>
        <v>1.4014957705797399E-2</v>
      </c>
      <c r="I27" s="5">
        <f>IF(F27="","",(VLOOKUP(F27,[1]SKU!$A$4:$D$3000,4,FALSE)))</f>
        <v>14.0149577057974</v>
      </c>
      <c r="J27" s="107" t="str">
        <f>IF(I27="","",(VLOOKUP($F27,[1]SKU!$A$4:$D$3000,3,FALSE)))</f>
        <v>KG</v>
      </c>
      <c r="K27" s="108" t="str">
        <f t="shared" ref="K27:K30" si="10">IF(J27="","",IF(J27=$C27,"","DIFFERENT"))</f>
        <v/>
      </c>
    </row>
    <row r="28" spans="1:13" x14ac:dyDescent="0.25">
      <c r="A28" s="105">
        <f t="shared" si="4"/>
        <v>0.1</v>
      </c>
      <c r="B28" s="109">
        <v>2E-3</v>
      </c>
      <c r="C28" s="22" t="s">
        <v>105</v>
      </c>
      <c r="D28" s="92" t="s">
        <v>91</v>
      </c>
      <c r="E28" s="16" t="s">
        <v>97</v>
      </c>
      <c r="F28" s="93" t="s">
        <v>100</v>
      </c>
      <c r="G28" s="95" t="str">
        <f>IF(F28="","",(VLOOKUP($F28,[1]SKU!$A$4:$D$3000,2,FALSE)))</f>
        <v>Milk Whole Homo 5 Gal Dispenser (20 Lt) USDA GRADE A</v>
      </c>
      <c r="H28" s="5">
        <f t="shared" si="9"/>
        <v>3.1957476469992918E-2</v>
      </c>
      <c r="I28" s="5">
        <f>IF(F28="","",(VLOOKUP(F28,[1]SKU!$A$4:$D$3000,4,FALSE)))</f>
        <v>15.97873823499646</v>
      </c>
      <c r="J28" s="107" t="str">
        <f>IF(I28="","",(VLOOKUP($F28,[1]SKU!$A$4:$D$3000,3,FALSE)))</f>
        <v>EA</v>
      </c>
      <c r="K28" s="108" t="str">
        <f t="shared" si="10"/>
        <v>DIFFERENT</v>
      </c>
      <c r="L28" s="94">
        <f>I28/20*0.002</f>
        <v>1.597873823499646E-3</v>
      </c>
    </row>
    <row r="29" spans="1:13" x14ac:dyDescent="0.25">
      <c r="A29" s="105">
        <f t="shared" si="4"/>
        <v>0.05</v>
      </c>
      <c r="B29" s="109">
        <v>1E-3</v>
      </c>
      <c r="C29" s="22" t="s">
        <v>58</v>
      </c>
      <c r="D29" s="92" t="s">
        <v>92</v>
      </c>
      <c r="E29" s="16" t="s">
        <v>98</v>
      </c>
      <c r="F29" s="93" t="s">
        <v>101</v>
      </c>
      <c r="G29" s="95" t="str">
        <f>IF(F29="","",(VLOOKUP($F29,[1]SKU!$A$4:$D$3000,2,FALSE)))</f>
        <v>Flour Bakers Hard Wheat 1/50 (Manitoba Typo 00)</v>
      </c>
      <c r="H29" s="5">
        <f t="shared" si="9"/>
        <v>6.0400194199195152E-4</v>
      </c>
      <c r="I29" s="5">
        <f>IF(F29="","",(VLOOKUP(F29,[1]SKU!$A$4:$D$3000,4,FALSE)))</f>
        <v>0.60400194199195145</v>
      </c>
      <c r="J29" s="107" t="str">
        <f>IF(I29="","",(VLOOKUP($F29,[1]SKU!$A$4:$D$3000,3,FALSE)))</f>
        <v>KG</v>
      </c>
      <c r="K29" s="108" t="str">
        <f t="shared" si="10"/>
        <v/>
      </c>
      <c r="M29" s="94" t="s">
        <v>14</v>
      </c>
    </row>
    <row r="30" spans="1:13" x14ac:dyDescent="0.25">
      <c r="A30" s="105">
        <f t="shared" si="4"/>
        <v>0.25</v>
      </c>
      <c r="B30" s="109">
        <v>5.0000000000000001E-3</v>
      </c>
      <c r="C30" s="22" t="s">
        <v>58</v>
      </c>
      <c r="D30" s="92" t="s">
        <v>110</v>
      </c>
      <c r="E30" s="16" t="s">
        <v>98</v>
      </c>
      <c r="F30" s="93" t="s">
        <v>102</v>
      </c>
      <c r="G30" s="95" t="str">
        <f>IF(F30="","",(VLOOKUP($F30,[1]SKU!$A$4:$D$3000,2,FALSE)))</f>
        <v>Flour Semolina</v>
      </c>
      <c r="H30" s="5">
        <f t="shared" si="9"/>
        <v>4.450497330406266E-3</v>
      </c>
      <c r="I30" s="5">
        <f>IF(F30="","",(VLOOKUP(F30,[1]SKU!$A$4:$D$3000,4,FALSE)))</f>
        <v>0.89009946608125323</v>
      </c>
      <c r="J30" s="107" t="str">
        <f>IF(I30="","",(VLOOKUP($F30,[1]SKU!$A$4:$D$3000,3,FALSE)))</f>
        <v>KG</v>
      </c>
      <c r="K30" s="108" t="str">
        <f t="shared" si="10"/>
        <v/>
      </c>
      <c r="M30" s="94" t="s">
        <v>14</v>
      </c>
    </row>
    <row r="31" spans="1:13" x14ac:dyDescent="0.25">
      <c r="A31" s="105">
        <f t="shared" si="4"/>
        <v>0.05</v>
      </c>
      <c r="B31" s="109">
        <v>1E-3</v>
      </c>
      <c r="C31" s="22" t="s">
        <v>58</v>
      </c>
      <c r="D31" s="92" t="s">
        <v>93</v>
      </c>
      <c r="E31" s="16"/>
      <c r="F31" s="93" t="s">
        <v>103</v>
      </c>
      <c r="G31" s="95" t="str">
        <f>IF(F31="","",(VLOOKUP($F31,[1]SKU!$A$4:$D$3000,2,FALSE)))</f>
        <v>Olives Ripe Kalamata  Large</v>
      </c>
      <c r="H31" s="5">
        <f t="shared" ref="H31:H32" si="11">IF(F31="","",(B31*I31))</f>
        <v>2.867443000176655E-3</v>
      </c>
      <c r="I31" s="5">
        <f>IF(F31="","",(VLOOKUP(F31,[1]SKU!$A$4:$D$3000,4,FALSE)))</f>
        <v>2.8674430001766549</v>
      </c>
      <c r="J31" s="107" t="str">
        <f>IF(I31="","",(VLOOKUP($F31,[1]SKU!$A$4:$D$3000,3,FALSE)))</f>
        <v>KG</v>
      </c>
      <c r="K31" s="108"/>
      <c r="M31" s="94"/>
    </row>
    <row r="32" spans="1:13" x14ac:dyDescent="0.25">
      <c r="A32" s="105">
        <f t="shared" si="4"/>
        <v>0.05</v>
      </c>
      <c r="B32" s="109">
        <v>1E-3</v>
      </c>
      <c r="C32" s="22" t="s">
        <v>58</v>
      </c>
      <c r="D32" s="95" t="s">
        <v>94</v>
      </c>
      <c r="E32" s="23"/>
      <c r="F32" s="93" t="s">
        <v>104</v>
      </c>
      <c r="G32" s="95" t="str">
        <f>IF(F32="","",(VLOOKUP($F32,[1]SKU!$A$4:$D$3000,2,FALSE)))</f>
        <v>Herb, Chives, Bulk, Fresh</v>
      </c>
      <c r="H32" s="5">
        <f t="shared" si="11"/>
        <v>1.2534666645536522E-2</v>
      </c>
      <c r="I32" s="5">
        <f>IF(F32="","",(VLOOKUP(F32,[1]SKU!$A$4:$D$3000,4,FALSE)))</f>
        <v>12.534666645536522</v>
      </c>
      <c r="J32" s="107" t="str">
        <f>IF(I32="","",(VLOOKUP($F32,[1]SKU!$A$4:$D$3000,3,FALSE)))</f>
        <v>KG</v>
      </c>
      <c r="K32" s="71" t="e">
        <f>IF(J32="","",IF(J32=#REF!,"","DIFFERENT"))</f>
        <v>#REF!</v>
      </c>
    </row>
    <row r="33" spans="1:11" ht="15.75" customHeight="1" x14ac:dyDescent="0.25">
      <c r="A33" s="99" t="s">
        <v>39</v>
      </c>
      <c r="B33" s="79">
        <f>SUM(B16:B32)</f>
        <v>1.1299999999999988</v>
      </c>
      <c r="C33" s="17"/>
      <c r="D33" s="15"/>
      <c r="E33" s="26"/>
      <c r="F33" s="17"/>
      <c r="G33" s="72" t="s">
        <v>38</v>
      </c>
      <c r="H33" s="73">
        <f>SUM(H16:H32)</f>
        <v>0.87159799125319504</v>
      </c>
      <c r="I33" s="63" t="str">
        <f>IF(F33="","",VLOOKUP(F33,[1]SKU!$A$5:$D$3000,4,FALSE))</f>
        <v/>
      </c>
      <c r="J33" s="64" t="str">
        <f>IF(F33="","",(VLOOKUP(F33,[1]SKU!$A$5:$D$3000,3,FALSE)))</f>
        <v/>
      </c>
      <c r="K33" s="71"/>
    </row>
    <row r="34" spans="1:11" s="6" customFormat="1" ht="15" customHeight="1" x14ac:dyDescent="0.25">
      <c r="A34" s="28" t="s">
        <v>3</v>
      </c>
      <c r="B34" s="25"/>
      <c r="C34" s="17"/>
      <c r="D34" s="14"/>
      <c r="E34" s="14"/>
      <c r="F34" s="24"/>
      <c r="G34" s="74" t="s">
        <v>43</v>
      </c>
      <c r="H34" s="75">
        <f>H33/C5</f>
        <v>0.87159799125319504</v>
      </c>
      <c r="I34" s="75" t="str">
        <f>IF(F34="","",VLOOKUP(F34,[1]SKU!$A$5:$D$3000,4,FALSE))</f>
        <v/>
      </c>
      <c r="J34" s="76" t="str">
        <f>IF(F34="","",(VLOOKUP(F34,[1]SKU!$A$5:$D$3000,3,FALSE)))</f>
        <v/>
      </c>
      <c r="K34" s="71"/>
    </row>
    <row r="35" spans="1:11" s="6" customFormat="1" ht="15" customHeight="1" x14ac:dyDescent="0.25">
      <c r="A35" s="18"/>
      <c r="B35" s="15" t="s">
        <v>74</v>
      </c>
      <c r="C35" s="15"/>
      <c r="D35" s="14"/>
      <c r="E35" s="14"/>
      <c r="F35" s="24"/>
      <c r="G35" s="62"/>
      <c r="H35" s="75"/>
      <c r="I35" s="75"/>
      <c r="J35" s="76"/>
      <c r="K35" s="71"/>
    </row>
    <row r="36" spans="1:11" s="6" customFormat="1" ht="15" customHeight="1" x14ac:dyDescent="0.25">
      <c r="A36" s="99"/>
      <c r="B36" s="14"/>
      <c r="C36" s="14"/>
      <c r="D36" s="14"/>
      <c r="E36" s="14"/>
      <c r="F36" s="24"/>
      <c r="G36" s="62"/>
      <c r="H36" s="75"/>
      <c r="I36" s="75" t="str">
        <f>IF(F36="","",VLOOKUP(F36,[1]SKU!$A$5:$D$3000,4,FALSE))</f>
        <v/>
      </c>
      <c r="J36" s="76" t="str">
        <f>IF(F36="","",(VLOOKUP(F36,[1]SKU!$A$5:$D$3000,3,FALSE)))</f>
        <v/>
      </c>
      <c r="K36" s="71"/>
    </row>
    <row r="37" spans="1:11" s="6" customFormat="1" ht="15" customHeight="1" x14ac:dyDescent="0.25">
      <c r="A37" s="99"/>
      <c r="B37" s="15" t="s">
        <v>111</v>
      </c>
      <c r="C37" s="14"/>
      <c r="D37" s="14"/>
      <c r="E37" s="14"/>
      <c r="F37" s="24"/>
      <c r="G37" s="62"/>
      <c r="H37" s="75"/>
      <c r="I37" s="75"/>
      <c r="J37" s="76"/>
      <c r="K37" s="71"/>
    </row>
    <row r="38" spans="1:11" s="6" customFormat="1" ht="15" customHeight="1" x14ac:dyDescent="0.25">
      <c r="A38" s="99"/>
      <c r="B38" s="14"/>
      <c r="C38" s="14"/>
      <c r="D38" s="14"/>
      <c r="E38" s="14"/>
      <c r="F38" s="24"/>
      <c r="G38" s="62"/>
      <c r="H38" s="62"/>
      <c r="I38" s="75" t="str">
        <f>IF(F38="","",VLOOKUP(F38,[1]SKU!$A$5:$D$3000,4,FALSE))</f>
        <v/>
      </c>
      <c r="J38" s="76" t="str">
        <f>IF(F38="","",(VLOOKUP(F38,[1]SKU!$A$5:$D$3000,3,FALSE)))</f>
        <v/>
      </c>
      <c r="K38" s="71"/>
    </row>
    <row r="39" spans="1:11" s="6" customFormat="1" ht="15" customHeight="1" x14ac:dyDescent="0.25">
      <c r="A39" s="99"/>
      <c r="B39" s="15" t="s">
        <v>112</v>
      </c>
      <c r="C39" s="14"/>
      <c r="D39" s="14"/>
      <c r="E39" s="14"/>
      <c r="F39" s="24"/>
      <c r="G39" s="62"/>
      <c r="H39" s="75"/>
      <c r="I39" s="75"/>
      <c r="J39" s="76"/>
      <c r="K39" s="71"/>
    </row>
    <row r="40" spans="1:11" s="6" customFormat="1" ht="15" customHeight="1" x14ac:dyDescent="0.25">
      <c r="A40" s="99"/>
      <c r="B40" s="14"/>
      <c r="C40" s="14"/>
      <c r="D40" s="14"/>
      <c r="E40" s="14"/>
      <c r="F40" s="24"/>
      <c r="G40" s="62"/>
      <c r="H40" s="75"/>
      <c r="I40" s="75" t="str">
        <f>IF(F40="","",VLOOKUP(F40,[1]SKU!$A$5:$D$3000,4,FALSE))</f>
        <v/>
      </c>
      <c r="J40" s="76" t="str">
        <f>IF(F40="","",(VLOOKUP(F40,[1]SKU!$A$5:$D$3000,3,FALSE)))</f>
        <v/>
      </c>
      <c r="K40" s="71"/>
    </row>
    <row r="41" spans="1:11" s="6" customFormat="1" ht="15" customHeight="1" x14ac:dyDescent="0.25">
      <c r="A41" s="99"/>
      <c r="B41" s="15" t="s">
        <v>96</v>
      </c>
      <c r="C41" s="14"/>
      <c r="D41" s="14"/>
      <c r="E41" s="14"/>
      <c r="F41" s="24"/>
      <c r="G41" s="62"/>
      <c r="H41" s="75"/>
      <c r="I41" s="75"/>
      <c r="J41" s="76"/>
      <c r="K41" s="71"/>
    </row>
    <row r="42" spans="1:11" s="6" customFormat="1" ht="15" customHeight="1" x14ac:dyDescent="0.25">
      <c r="A42" s="99"/>
      <c r="B42" s="14" t="s">
        <v>95</v>
      </c>
      <c r="C42" s="14"/>
      <c r="D42" s="14"/>
      <c r="E42" s="14"/>
      <c r="F42" s="24"/>
      <c r="G42" s="62"/>
      <c r="H42" s="75"/>
      <c r="I42" s="75"/>
      <c r="J42" s="76"/>
      <c r="K42" s="71"/>
    </row>
    <row r="43" spans="1:11" s="6" customFormat="1" ht="15" customHeight="1" x14ac:dyDescent="0.25">
      <c r="A43" s="99"/>
      <c r="B43" s="15"/>
      <c r="C43" s="37"/>
      <c r="D43" s="14"/>
      <c r="E43" s="14"/>
      <c r="F43" s="24"/>
      <c r="G43" s="62"/>
      <c r="H43" s="75"/>
      <c r="I43" s="75"/>
      <c r="J43" s="76"/>
      <c r="K43" s="71"/>
    </row>
    <row r="44" spans="1:11" s="6" customFormat="1" x14ac:dyDescent="0.25">
      <c r="A44" s="99"/>
      <c r="B44" s="14" t="s">
        <v>90</v>
      </c>
      <c r="C44" s="37"/>
      <c r="D44" s="14"/>
      <c r="E44" s="14"/>
      <c r="F44" s="24"/>
      <c r="G44" s="62"/>
      <c r="H44" s="75"/>
      <c r="I44" s="75" t="str">
        <f>IF(F44="","",VLOOKUP(F44,[1]SKU!$A$5:$D$3000,4,FALSE))</f>
        <v/>
      </c>
      <c r="J44" s="76" t="str">
        <f>IF(F44="","",(VLOOKUP(F44,[1]SKU!$A$5:$D$3000,3,FALSE)))</f>
        <v/>
      </c>
      <c r="K44" s="71"/>
    </row>
    <row r="45" spans="1:11" s="6" customFormat="1" x14ac:dyDescent="0.25">
      <c r="A45" s="99"/>
      <c r="B45" s="15"/>
      <c r="C45" s="37"/>
      <c r="D45" s="14"/>
      <c r="E45" s="14"/>
      <c r="F45" s="24"/>
      <c r="G45" s="62"/>
      <c r="H45" s="75"/>
      <c r="I45" s="75" t="str">
        <f>IF(F45="","",VLOOKUP(F45,[1]SKU!$A$5:$D$3000,4,FALSE))</f>
        <v/>
      </c>
      <c r="J45" s="76" t="str">
        <f>IF(F45="","",(VLOOKUP(F45,[1]SKU!$A$5:$D$3000,3,FALSE)))</f>
        <v/>
      </c>
      <c r="K45" s="71"/>
    </row>
    <row r="46" spans="1:11" s="6" customFormat="1" x14ac:dyDescent="0.25">
      <c r="A46" s="99"/>
      <c r="B46" s="15" t="s">
        <v>14</v>
      </c>
      <c r="C46" s="37"/>
      <c r="D46" s="14"/>
      <c r="E46" s="14"/>
      <c r="F46" s="24"/>
      <c r="G46" s="62"/>
      <c r="H46" s="75"/>
      <c r="I46" s="75" t="str">
        <f>IF(F46="","",VLOOKUP(F46,[1]SKU!$A$5:$D$3000,4,FALSE))</f>
        <v/>
      </c>
      <c r="J46" s="76" t="str">
        <f>IF(F46="","",(VLOOKUP(F46,[1]SKU!$A$5:$D$3000,3,FALSE)))</f>
        <v/>
      </c>
      <c r="K46" s="71"/>
    </row>
    <row r="47" spans="1:11" s="6" customFormat="1" x14ac:dyDescent="0.25">
      <c r="A47" s="99"/>
      <c r="B47" s="15"/>
      <c r="C47" s="37"/>
      <c r="D47" s="14"/>
      <c r="E47" s="14"/>
      <c r="F47" s="24"/>
      <c r="G47" s="62"/>
      <c r="H47" s="75"/>
      <c r="I47" s="75" t="str">
        <f>IF(F47="","",VLOOKUP(F47,[1]SKU!$A$5:$D$3000,4,FALSE))</f>
        <v/>
      </c>
      <c r="J47" s="76" t="str">
        <f>IF(F47="","",(VLOOKUP(F47,[1]SKU!$A$5:$D$3000,3,FALSE)))</f>
        <v/>
      </c>
      <c r="K47" s="71"/>
    </row>
    <row r="48" spans="1:11" s="6" customFormat="1" x14ac:dyDescent="0.25">
      <c r="A48" s="37"/>
      <c r="B48" s="14"/>
      <c r="C48" s="37"/>
      <c r="D48" s="14"/>
      <c r="E48" s="14"/>
      <c r="F48" s="24"/>
      <c r="G48" s="62" t="str">
        <f>IF(F48="","",(VLOOKUP(F48,[1]SKU!$A$5:$D$3000,2,FALSE)))</f>
        <v/>
      </c>
      <c r="H48" s="75"/>
      <c r="I48" s="75" t="str">
        <f>IF(F48="","",VLOOKUP(F48,[1]SKU!$A$5:$D$3000,4,FALSE))</f>
        <v/>
      </c>
      <c r="J48" s="76" t="str">
        <f>IF(F48="","",(VLOOKUP(F48,[1]SKU!$A$5:$D$3000,3,FALSE)))</f>
        <v/>
      </c>
      <c r="K48" s="71"/>
    </row>
    <row r="49" spans="1:11" s="6" customFormat="1" x14ac:dyDescent="0.25">
      <c r="A49" s="99"/>
      <c r="B49" s="15"/>
      <c r="C49" s="37"/>
      <c r="D49" s="14"/>
      <c r="E49" s="14"/>
      <c r="F49" s="24"/>
      <c r="G49" s="62" t="str">
        <f>IF(F49="","",(VLOOKUP(F49,[1]SKU!$A$5:$D$3000,2,FALSE)))</f>
        <v/>
      </c>
      <c r="H49" s="75"/>
      <c r="I49" s="75" t="str">
        <f>IF(F49="","",VLOOKUP(F49,[1]SKU!$A$5:$D$3000,4,FALSE))</f>
        <v/>
      </c>
      <c r="J49" s="76" t="str">
        <f>IF(F49="","",(VLOOKUP(F49,[1]SKU!$A$5:$D$3000,3,FALSE)))</f>
        <v/>
      </c>
      <c r="K49" s="71"/>
    </row>
    <row r="50" spans="1:11" s="6" customFormat="1" x14ac:dyDescent="0.25">
      <c r="A50" s="99"/>
      <c r="B50" s="14"/>
      <c r="C50" s="37"/>
      <c r="D50" s="14"/>
      <c r="E50" s="14"/>
      <c r="F50" s="24"/>
      <c r="G50" s="62" t="str">
        <f>IF(F50="","",(VLOOKUP(F50,[2]SKU!$A$5:$D$3000,2,FALSE)))</f>
        <v/>
      </c>
      <c r="H50" s="75"/>
      <c r="I50" s="75" t="str">
        <f>IF(F50="","",VLOOKUP(F50,[1]SKU!$A$5:$D$3000,4,FALSE))</f>
        <v/>
      </c>
      <c r="J50" s="76" t="str">
        <f>IF(F50="","",(VLOOKUP(F50,[1]SKU!$A$5:$D$3000,3,FALSE)))</f>
        <v/>
      </c>
      <c r="K50" s="71"/>
    </row>
    <row r="51" spans="1:11" s="6" customFormat="1" x14ac:dyDescent="0.25">
      <c r="A51" s="99"/>
      <c r="B51" s="15"/>
      <c r="C51" s="37"/>
      <c r="D51" s="96"/>
      <c r="E51" s="14"/>
      <c r="F51" s="24"/>
      <c r="G51" s="48" t="str">
        <f>IF(F51="","",(VLOOKUP(F51,[2]SKU!$A$5:$D$3000,2,FALSE)))</f>
        <v/>
      </c>
      <c r="H51" s="49"/>
      <c r="I51" s="49" t="str">
        <f>IF(F51="","",VLOOKUP(F51,[1]SKU!$A$5:$D$3000,4,FALSE))</f>
        <v/>
      </c>
      <c r="J51" s="50" t="str">
        <f>IF(F51="","",(VLOOKUP(F51,[1]SKU!$A$5:$D$3000,3,FALSE)))</f>
        <v/>
      </c>
      <c r="K51" s="51"/>
    </row>
    <row r="52" spans="1:11" s="6" customFormat="1" x14ac:dyDescent="0.25">
      <c r="A52" s="99"/>
      <c r="B52" s="15"/>
      <c r="C52" s="17"/>
      <c r="D52" s="14"/>
      <c r="E52" s="14"/>
      <c r="F52" s="24"/>
      <c r="G52" s="33" t="str">
        <f>IF(F52="","",(VLOOKUP(F52,[2]SKU!$A$5:$D$3000,2,FALSE)))</f>
        <v/>
      </c>
      <c r="H52" s="35"/>
      <c r="I52" s="35" t="str">
        <f>IF(F52="","",VLOOKUP(F52,[1]SKU!$A$5:$D$3000,4,FALSE))</f>
        <v/>
      </c>
      <c r="J52" s="45" t="str">
        <f>IF(F52="","",(VLOOKUP(F52,[1]SKU!$A$5:$D$3000,3,FALSE)))</f>
        <v/>
      </c>
      <c r="K52" s="41"/>
    </row>
    <row r="53" spans="1:11" x14ac:dyDescent="0.25">
      <c r="A53" s="99"/>
      <c r="B53" s="27"/>
      <c r="C53" s="14"/>
      <c r="D53" s="37"/>
      <c r="E53" s="32" t="s">
        <v>14</v>
      </c>
      <c r="F53" s="17"/>
      <c r="G53" s="33" t="str">
        <f>IF(F53="","",(VLOOKUP(F53,[2]SKU!$A$5:$D$3000,2,FALSE)))</f>
        <v/>
      </c>
      <c r="H53" s="34"/>
      <c r="I53" s="34" t="str">
        <f>IF(F53="","",VLOOKUP(F53,[1]SKU!$A$5:$D$3000,4,FALSE))</f>
        <v/>
      </c>
      <c r="J53" s="44" t="str">
        <f>IF(F53="","",(VLOOKUP(F53,[1]SKU!$A$5:$D$3000,3,FALSE)))</f>
        <v/>
      </c>
      <c r="K53" s="41"/>
    </row>
    <row r="54" spans="1:11" x14ac:dyDescent="0.25">
      <c r="A54" s="99"/>
      <c r="B54" s="15"/>
      <c r="C54" s="15"/>
      <c r="D54" s="37"/>
      <c r="E54" s="14"/>
      <c r="F54" s="17"/>
      <c r="G54" s="33" t="str">
        <f>IF(F54="","",(VLOOKUP(F54,[2]SKU!$A$5:$B$3000,2,FALSE)))</f>
        <v/>
      </c>
      <c r="H54" s="34"/>
      <c r="I54" s="34" t="str">
        <f>IF(F54="","",VLOOKUP(F54,[1]SKU!$A$5:$D$3000,4,FALSE))</f>
        <v/>
      </c>
      <c r="J54" s="44" t="str">
        <f>IF(F54="","",(VLOOKUP(F54,[1]SKU!$A$5:$D$3000,3,FALSE)))</f>
        <v/>
      </c>
      <c r="K54" s="41"/>
    </row>
    <row r="55" spans="1:11" x14ac:dyDescent="0.25">
      <c r="G55" s="6" t="str">
        <f>IF(F55="","",(VLOOKUP(F55,[2]SKU!$A$5:$B$3000,2,FALSE)))</f>
        <v/>
      </c>
      <c r="I55" s="5" t="str">
        <f>IF(F55="","",VLOOKUP(F55,[1]SKU!$A$5:$D$3000,4,FALSE))</f>
        <v/>
      </c>
      <c r="J55" s="46" t="str">
        <f>IF(F55="","",(VLOOKUP(F55,[1]SKU!$A$5:$D$3000,3,FALSE)))</f>
        <v/>
      </c>
      <c r="K55" s="42"/>
    </row>
    <row r="56" spans="1:11" x14ac:dyDescent="0.25">
      <c r="G56" s="6" t="str">
        <f>IF(F56="","",(VLOOKUP(F56,[2]SKU!$A$5:$B$3000,2,FALSE)))</f>
        <v/>
      </c>
    </row>
    <row r="57" spans="1:11" x14ac:dyDescent="0.25">
      <c r="G57" s="6" t="str">
        <f>IF(F57="","",(VLOOKUP(F57,[2]SKU!$A$5:$B$3000,2,FALSE)))</f>
        <v/>
      </c>
    </row>
    <row r="58" spans="1:11" x14ac:dyDescent="0.25">
      <c r="G58" s="6" t="str">
        <f>IF(F58="","",(VLOOKUP(F58,[2]SKU!$A$5:$B$3000,2,FALSE)))</f>
        <v/>
      </c>
    </row>
    <row r="59" spans="1:11" x14ac:dyDescent="0.25">
      <c r="G59" s="6" t="str">
        <f>IF(F59="","",(VLOOKUP(F59,[2]SKU!$A$5:$B$3000,2,FALSE)))</f>
        <v/>
      </c>
    </row>
  </sheetData>
  <mergeCells count="1">
    <mergeCell ref="B2:E2"/>
  </mergeCells>
  <conditionalFormatting sqref="K44:K55 K33:K37 K27:K31">
    <cfRule type="cellIs" dxfId="4" priority="23" operator="equal">
      <formula>"DIFFERENT"</formula>
    </cfRule>
  </conditionalFormatting>
  <conditionalFormatting sqref="K38:K43">
    <cfRule type="cellIs" dxfId="3" priority="11" operator="equal">
      <formula>"DIFFERENT"</formula>
    </cfRule>
  </conditionalFormatting>
  <conditionalFormatting sqref="K32">
    <cfRule type="containsText" dxfId="2" priority="3" operator="containsText" text="DIFFERENT">
      <formula>NOT(ISERROR(SEARCH("DIFFERENT",K32)))</formula>
    </cfRule>
    <cfRule type="cellIs" dxfId="1" priority="4" operator="equal">
      <formula>"DIFFERENT"</formula>
    </cfRule>
  </conditionalFormatting>
  <conditionalFormatting sqref="K16:K26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Shipboard Systems</cp:lastModifiedBy>
  <cp:lastPrinted>2017-03-07T21:48:38Z</cp:lastPrinted>
  <dcterms:created xsi:type="dcterms:W3CDTF">2012-02-13T23:35:12Z</dcterms:created>
  <dcterms:modified xsi:type="dcterms:W3CDTF">2017-03-26T12:05:23Z</dcterms:modified>
</cp:coreProperties>
</file>